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802"/>
  </bookViews>
  <sheets>
    <sheet name="1.Coleta de Dejetos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</sheets>
  <definedNames>
    <definedName name="AbaDeprec">'5. Depreciação'!$A$1</definedName>
    <definedName name="AbaRemun">'6.Remuneração de capital'!$A$1</definedName>
    <definedName name="_xlnm.Print_Area" localSheetId="0">'1.Coleta de Dejetos'!$A$1:$F$229</definedName>
    <definedName name="_xlnm.Print_Area" localSheetId="1">'2.Encargos Sociais'!$A$1:$C$29</definedName>
    <definedName name="_xlnm.Print_Titles" localSheetId="0">'1.Coleta de Dejetos'!#REF!</definedName>
  </definedNames>
  <calcPr calcId="145621"/>
</workbook>
</file>

<file path=xl/calcChain.xml><?xml version="1.0" encoding="utf-8"?>
<calcChain xmlns="http://schemas.openxmlformats.org/spreadsheetml/2006/main">
  <c r="E196" i="2" l="1"/>
  <c r="A35" i="2" l="1"/>
  <c r="C114" i="2" l="1"/>
  <c r="E193" i="2"/>
  <c r="E192" i="2"/>
  <c r="E191" i="2"/>
  <c r="D223" i="2"/>
  <c r="C205" i="2" s="1"/>
  <c r="A23" i="2"/>
  <c r="A22" i="2"/>
  <c r="E205" i="2" l="1"/>
  <c r="C78" i="2"/>
  <c r="C77" i="2"/>
  <c r="C100" i="2"/>
  <c r="C72" i="2"/>
  <c r="C71" i="2"/>
  <c r="C84" i="2"/>
  <c r="C83" i="2"/>
  <c r="F206" i="2" l="1"/>
  <c r="F208" i="2" l="1"/>
  <c r="E23" i="2"/>
  <c r="C25" i="5"/>
  <c r="C144" i="2" l="1"/>
  <c r="C143" i="2"/>
  <c r="C145" i="2"/>
  <c r="A24" i="2" l="1"/>
  <c r="A14" i="2"/>
  <c r="A13" i="2"/>
  <c r="A7" i="2"/>
  <c r="C119" i="2" l="1"/>
  <c r="E31" i="2" l="1"/>
  <c r="E35" i="2"/>
  <c r="C138" i="2" l="1"/>
  <c r="C133" i="2"/>
  <c r="D163" i="2"/>
  <c r="D161" i="2"/>
  <c r="D159" i="2"/>
  <c r="D157" i="2"/>
  <c r="E94" i="2" l="1"/>
  <c r="E95" i="2"/>
  <c r="E96" i="2"/>
  <c r="E97" i="2"/>
  <c r="E98" i="2"/>
  <c r="C178" i="2" l="1"/>
  <c r="A21" i="2"/>
  <c r="A20" i="2"/>
  <c r="A19" i="2"/>
  <c r="A18" i="2"/>
  <c r="A17" i="2"/>
  <c r="A16" i="2"/>
  <c r="A15" i="2"/>
  <c r="A12" i="2"/>
  <c r="A11" i="2"/>
  <c r="A10" i="2"/>
  <c r="A9" i="2"/>
  <c r="A8" i="2"/>
  <c r="C18" i="8"/>
  <c r="C23" i="8" s="1"/>
  <c r="E147" i="2"/>
  <c r="E139" i="2"/>
  <c r="E123" i="2"/>
  <c r="E101" i="2"/>
  <c r="E85" i="2"/>
  <c r="E64" i="2"/>
  <c r="E52" i="2"/>
  <c r="D127" i="2"/>
  <c r="C9" i="4"/>
  <c r="C14" i="4" s="1"/>
  <c r="C213" i="2" s="1"/>
  <c r="F7" i="4"/>
  <c r="E7" i="4"/>
  <c r="D7" i="4"/>
  <c r="C15" i="8"/>
  <c r="E56" i="2"/>
  <c r="D72" i="2" s="1"/>
  <c r="C176" i="2"/>
  <c r="E176" i="2" s="1"/>
  <c r="C155" i="2"/>
  <c r="C157" i="2" s="1"/>
  <c r="E157" i="2" s="1"/>
  <c r="D155" i="2"/>
  <c r="D164" i="2" s="1"/>
  <c r="E111" i="2"/>
  <c r="D132" i="2"/>
  <c r="C120" i="2"/>
  <c r="C115" i="2"/>
  <c r="C116" i="2"/>
  <c r="C132" i="2" s="1"/>
  <c r="A30" i="2"/>
  <c r="A31" i="2"/>
  <c r="E44" i="2"/>
  <c r="A83" i="2"/>
  <c r="A78" i="2"/>
  <c r="A84" i="2" s="1"/>
  <c r="E99" i="2"/>
  <c r="E174" i="2"/>
  <c r="E145" i="2"/>
  <c r="E144" i="2"/>
  <c r="E187" i="2"/>
  <c r="E190" i="2"/>
  <c r="E194" i="2"/>
  <c r="E188" i="2"/>
  <c r="E189" i="2"/>
  <c r="E195" i="2" l="1"/>
  <c r="F196" i="2" s="1"/>
  <c r="F198" i="2" s="1"/>
  <c r="E22" i="2" s="1"/>
  <c r="D71" i="2"/>
  <c r="E71" i="2" s="1"/>
  <c r="D47" i="2"/>
  <c r="E47" i="2" s="1"/>
  <c r="E48" i="2" s="1"/>
  <c r="D49" i="2" s="1"/>
  <c r="D59" i="2"/>
  <c r="E59" i="2" s="1"/>
  <c r="E60" i="2" s="1"/>
  <c r="D114" i="2"/>
  <c r="E114" i="2" s="1"/>
  <c r="D143" i="2"/>
  <c r="C161" i="2"/>
  <c r="E161" i="2" s="1"/>
  <c r="C163" i="2"/>
  <c r="E163" i="2" s="1"/>
  <c r="E78" i="2"/>
  <c r="E155" i="2"/>
  <c r="E116" i="2"/>
  <c r="C134" i="2" s="1"/>
  <c r="D100" i="2"/>
  <c r="E77" i="2"/>
  <c r="E32" i="2"/>
  <c r="E83" i="2"/>
  <c r="E132" i="2"/>
  <c r="E84" i="2"/>
  <c r="C159" i="2"/>
  <c r="E159" i="2" s="1"/>
  <c r="C169" i="2"/>
  <c r="E169" i="2" s="1"/>
  <c r="F170" i="2" s="1"/>
  <c r="E20" i="2" s="1"/>
  <c r="E127" i="2"/>
  <c r="D177" i="2"/>
  <c r="E177" i="2" s="1"/>
  <c r="D178" i="2" s="1"/>
  <c r="E178" i="2" s="1"/>
  <c r="F179" i="2" s="1"/>
  <c r="E21" i="2" s="1"/>
  <c r="E72" i="2"/>
  <c r="D115" i="2" l="1"/>
  <c r="E115" i="2" s="1"/>
  <c r="E143" i="2"/>
  <c r="D146" i="2" s="1"/>
  <c r="E146" i="2" s="1"/>
  <c r="F147" i="2" s="1"/>
  <c r="E18" i="2" s="1"/>
  <c r="C129" i="2"/>
  <c r="C130" i="2" s="1"/>
  <c r="D131" i="2" s="1"/>
  <c r="E131" i="2" s="1"/>
  <c r="C25" i="8"/>
  <c r="F79" i="2"/>
  <c r="E11" i="2" s="1"/>
  <c r="F85" i="2"/>
  <c r="E100" i="2"/>
  <c r="F101" i="2" s="1"/>
  <c r="F103" i="2" s="1"/>
  <c r="D119" i="2"/>
  <c r="E119" i="2" s="1"/>
  <c r="D120" i="2" s="1"/>
  <c r="E120" i="2" s="1"/>
  <c r="F73" i="2"/>
  <c r="E10" i="2" s="1"/>
  <c r="F165" i="2"/>
  <c r="E19" i="2" s="1"/>
  <c r="D61" i="2"/>
  <c r="E12" i="2" l="1"/>
  <c r="C26" i="8"/>
  <c r="C27" i="8" s="1"/>
  <c r="E121" i="2"/>
  <c r="D122" i="2" s="1"/>
  <c r="E122" i="2" s="1"/>
  <c r="F123" i="2" s="1"/>
  <c r="E16" i="2" s="1"/>
  <c r="C135" i="2"/>
  <c r="D136" i="2" s="1"/>
  <c r="E136" i="2" s="1"/>
  <c r="E137" i="2" s="1"/>
  <c r="D138" i="2" s="1"/>
  <c r="E138" i="2" s="1"/>
  <c r="F139" i="2" s="1"/>
  <c r="E13" i="2"/>
  <c r="E17" i="2" l="1"/>
  <c r="E15" i="2" s="1"/>
  <c r="F182" i="2"/>
  <c r="E14" i="2" s="1"/>
  <c r="C61" i="2" l="1"/>
  <c r="C49" i="2"/>
  <c r="E49" i="2" s="1"/>
  <c r="E50" i="2" s="1"/>
  <c r="D51" i="2" s="1"/>
  <c r="E51" i="2" s="1"/>
  <c r="F52" i="2" s="1"/>
  <c r="E8" i="2" s="1"/>
  <c r="E61" i="2"/>
  <c r="E62" i="2" s="1"/>
  <c r="D63" i="2" s="1"/>
  <c r="E63" i="2" s="1"/>
  <c r="F64" i="2" s="1"/>
  <c r="E9" i="2" l="1"/>
  <c r="F87" i="2"/>
  <c r="F200" i="2" s="1"/>
  <c r="E7" i="2" l="1"/>
  <c r="D213" i="2"/>
  <c r="E213" i="2" s="1"/>
  <c r="F214" i="2" s="1"/>
  <c r="F216" i="2" s="1"/>
  <c r="E24" i="2" s="1"/>
  <c r="F219" i="2" l="1"/>
  <c r="E25" i="2"/>
  <c r="F7" i="2" s="1"/>
  <c r="F225" i="2"/>
  <c r="F23" i="2" l="1"/>
  <c r="F13" i="2"/>
  <c r="F8" i="2"/>
  <c r="F12" i="2"/>
  <c r="F14" i="2"/>
  <c r="F21" i="2"/>
  <c r="F20" i="2"/>
  <c r="F9" i="2"/>
  <c r="F15" i="2"/>
  <c r="F16" i="2"/>
  <c r="F17" i="2"/>
  <c r="F11" i="2"/>
  <c r="F18" i="2"/>
  <c r="F10" i="2"/>
  <c r="F22" i="2"/>
  <c r="F19" i="2"/>
  <c r="F24" i="2"/>
  <c r="F25" i="2" l="1"/>
</calcChain>
</file>

<file path=xl/comments1.xml><?xml version="1.0" encoding="utf-8"?>
<comments xmlns="http://schemas.openxmlformats.org/spreadsheetml/2006/main">
  <authors>
    <author>Clauber Bridi</author>
    <author>Compras2</author>
  </authors>
  <commentList>
    <comment ref="A5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8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4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46" authorId="1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</t>
        </r>
      </text>
    </comment>
    <comment ref="C4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5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56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57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58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</t>
        </r>
      </text>
    </comment>
    <comment ref="C59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61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3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69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70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71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72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77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78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83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84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99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11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12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13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14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16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17" authorId="0">
      <text>
        <r>
          <rPr>
            <sz val="9"/>
            <color indexed="81"/>
            <rFont val="Tahoma"/>
            <family val="2"/>
          </rPr>
          <t>Informar a vida útil estimada para a bomba a vácuo, em anos</t>
        </r>
      </text>
    </comment>
    <comment ref="C118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19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2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28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44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145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151" authorId="0">
      <text>
        <r>
          <rPr>
            <sz val="9"/>
            <color indexed="81"/>
            <rFont val="Tahoma"/>
            <family val="2"/>
          </rPr>
          <t>Informar a quilometragem mensal percorrida, para o serviço de coleta e destino final dos dejetos.</t>
        </r>
      </text>
    </comment>
    <comment ref="C154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154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156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156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158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158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160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160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162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162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169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174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174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175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176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177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C187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187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18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18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18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18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190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190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19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191" authorId="1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19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192" authorId="1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193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193" authorId="1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194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194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D205" authorId="0">
      <text>
        <r>
          <rPr>
            <sz val="9"/>
            <color indexed="81"/>
            <rFont val="Tahoma"/>
            <family val="2"/>
          </rPr>
          <t>Informar o valor unitário estimado para destinação final de cada m³ de dejetos</t>
        </r>
      </text>
    </comment>
    <comment ref="C213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22" authorId="1">
      <text>
        <r>
          <rPr>
            <b/>
            <sz val="9"/>
            <color indexed="81"/>
            <rFont val="Tahoma"/>
            <family val="2"/>
          </rPr>
          <t>Quantidade máxima prevista no registro de preços.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6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0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sharedStrings.xml><?xml version="1.0" encoding="utf-8"?>
<sst xmlns="http://schemas.openxmlformats.org/spreadsheetml/2006/main" count="416" uniqueCount="246">
  <si>
    <t>Adicional de Insalubridade</t>
  </si>
  <si>
    <t>%</t>
  </si>
  <si>
    <t>Soma</t>
  </si>
  <si>
    <t>Encargos Sociais</t>
  </si>
  <si>
    <t>Total do Efetivo</t>
  </si>
  <si>
    <t>homem</t>
  </si>
  <si>
    <t>mês</t>
  </si>
  <si>
    <t>vale</t>
  </si>
  <si>
    <t>unidade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</si>
  <si>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</si>
  <si>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</si>
  <si>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</si>
  <si>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</si>
  <si>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</si>
  <si>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</si>
  <si>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</si>
  <si>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</si>
  <si>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</si>
  <si>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</si>
  <si>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</si>
  <si>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</si>
  <si>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</si>
  <si>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</si>
  <si>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</si>
  <si>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Calça</t>
  </si>
  <si>
    <t>Camiseta</t>
  </si>
  <si>
    <t>Luva de proteção</t>
  </si>
  <si>
    <t>R$</t>
  </si>
  <si>
    <t>Benefícios e despesas indiretas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</si>
  <si>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</si>
  <si>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</si>
  <si>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</si>
  <si>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</si>
  <si>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</si>
  <si>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</si>
  <si>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</si>
  <si>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</si>
  <si>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</si>
  <si>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</si>
  <si>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</si>
  <si>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Depreciação mensal veículos coletores</t>
  </si>
  <si>
    <t>3.1.3. Impostos e Seguros</t>
  </si>
  <si>
    <t>3.1.5. Manutenção</t>
  </si>
  <si>
    <t>3. Veículos e Equipamentos</t>
  </si>
  <si>
    <t>Custo mensal com pneus</t>
  </si>
  <si>
    <t>Veículos e Equipamentos</t>
  </si>
  <si>
    <t>Total de mão-de-obra (postos de trabalho)</t>
  </si>
  <si>
    <t>3.1.6. Pneus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</si>
  <si>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</si>
  <si>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</si>
  <si>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</si>
  <si>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</si>
  <si>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Botina de segurança c/ palmilha aço</t>
  </si>
  <si>
    <t>Custo de recapagem</t>
  </si>
  <si>
    <t>Total por Coletor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</si>
  <si>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</si>
  <si>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</si>
  <si>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</si>
  <si>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</si>
  <si>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</si>
  <si>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</si>
  <si>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</si>
  <si>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</si>
  <si>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</si>
  <si>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</si>
  <si>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</si>
  <si>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</si>
  <si>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</si>
  <si>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</si>
  <si>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</si>
  <si>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Vale Transporte</t>
  </si>
  <si>
    <t>Dias Trabalhados por mês</t>
  </si>
  <si>
    <t>dia</t>
  </si>
  <si>
    <t>Custo Mensal com Mão-de-obra (R$/mês)</t>
  </si>
  <si>
    <t>Quantitativos</t>
  </si>
  <si>
    <t>1.5. Vale Transporte</t>
  </si>
  <si>
    <t>Vida útil do chassis</t>
  </si>
  <si>
    <t>anos</t>
  </si>
  <si>
    <t>Depreciação do chassis</t>
  </si>
  <si>
    <t>Custo de aquisição do chassis</t>
  </si>
  <si>
    <t>i = taxa de juros do mercado (sugere-se adotar a taxa SELIC)</t>
  </si>
  <si>
    <t>n = vida útil do bem em anos</t>
  </si>
  <si>
    <t>Custo do chassis</t>
  </si>
  <si>
    <t>3.1.2. Remuneração do Capital</t>
  </si>
  <si>
    <t>Im = investimento médio</t>
  </si>
  <si>
    <t>Investimento médio total do chassis</t>
  </si>
  <si>
    <t>Remuneração mensal de capital do chassis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</si>
  <si>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</si>
  <si>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</si>
  <si>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</si>
  <si>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</si>
  <si>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</si>
  <si>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</si>
  <si>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</si>
  <si>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</si>
  <si>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</si>
  <si>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</si>
  <si>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</si>
  <si>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</si>
  <si>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</si>
  <si>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</si>
  <si>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</si>
  <si>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</si>
  <si>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</si>
  <si>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</si>
  <si>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</si>
  <si>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</si>
  <si>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Multa FGTS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</si>
  <si>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</si>
  <si>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</si>
  <si>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</si>
  <si>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</si>
  <si>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</si>
  <si>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</si>
  <si>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</si>
  <si>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</si>
  <si>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</si>
  <si>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</si>
  <si>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</si>
  <si>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</si>
  <si>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</si>
  <si>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</si>
  <si>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</si>
  <si>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</si>
  <si>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</si>
  <si>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</si>
  <si>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</si>
  <si>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</si>
  <si>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</si>
  <si>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</si>
  <si>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</si>
  <si>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</si>
  <si>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</si>
  <si>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</si>
  <si>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</si>
  <si>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</si>
  <si>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</si>
  <si>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</si>
  <si>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</si>
  <si>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</si>
  <si>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SOMA GRUPO C</t>
  </si>
  <si>
    <t>D1</t>
  </si>
  <si>
    <t>Reincidência de Grupo A sobre Grupo B</t>
  </si>
  <si>
    <t>D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</si>
  <si>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</si>
  <si>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</si>
  <si>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</si>
  <si>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</si>
  <si>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</si>
  <si>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</si>
  <si>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</si>
  <si>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Higienização de uniformes e EPIs</t>
  </si>
  <si>
    <t>Custo Mensal com Uniformes e EPIs (R$/mês)</t>
  </si>
  <si>
    <t>Descrição do Item</t>
  </si>
  <si>
    <t>Orçamento Sintético</t>
  </si>
  <si>
    <t>Orientações para preenchimento:</t>
  </si>
  <si>
    <t>Excluir esta linha caso a contratação seja por preço global mensal</t>
  </si>
  <si>
    <t>Rio Grande do Sul  - Coleta de Resíduos Não-Perigosos - CNAE 38114</t>
  </si>
  <si>
    <t xml:space="preserve">1. Acesse o Portal do CAGED no link http://bi.mte.gov.br/cagedestabelecimento/pages/consulta.xhtml </t>
  </si>
  <si>
    <t>3. Nível Geográfico: selecione "Unidade da Federação" e marque a opção "Rio Grande do Sul"</t>
  </si>
  <si>
    <t>5. Clique em Gerar Relatório</t>
  </si>
  <si>
    <t>Para preencher esta planilha siga os passos 1 a 5:</t>
  </si>
  <si>
    <t>Idade do veículo (ano)</t>
  </si>
  <si>
    <t>Idade do veículo</t>
  </si>
  <si>
    <t>Valor do veículo proposto (V0)</t>
  </si>
  <si>
    <t>Taxa de juros anual nominal</t>
  </si>
  <si>
    <t>Base de cálculo da Insalubridade</t>
  </si>
  <si>
    <t>B3</t>
  </si>
  <si>
    <t>Custo Mensal com Veículos e Equipamentos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</si>
  <si>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</si>
  <si>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</si>
  <si>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</si>
  <si>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</si>
  <si>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</si>
  <si>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</si>
  <si>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</si>
  <si>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</si>
  <si>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</si>
  <si>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</si>
  <si>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</si>
  <si>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</si>
  <si>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</si>
  <si>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</si>
  <si>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</si>
  <si>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</si>
  <si>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6. Preencha as células em amarelo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</si>
  <si>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</si>
  <si>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</si>
  <si>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</si>
  <si>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</si>
  <si>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</si>
  <si>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Fórmula de cálculo da remuneração de capital:</t>
  </si>
  <si>
    <t>Total por Motorista</t>
  </si>
  <si>
    <t>2. Na Especificação da Consulta, selecione "Demonstrativo por período" e informe as competências relativas ao período Inicial e Final (últimos 12 meses)</t>
  </si>
  <si>
    <t>Durabilidade (meses)</t>
  </si>
  <si>
    <t>Custo com consumos/km rodado</t>
  </si>
  <si>
    <t>Consumo</t>
  </si>
  <si>
    <t>Total por veículo</t>
  </si>
  <si>
    <t>Total da frota</t>
  </si>
  <si>
    <t>m³</t>
  </si>
  <si>
    <t>i</t>
  </si>
  <si>
    <t>Depreciação Média</t>
  </si>
  <si>
    <t>Piso da categoria (2)</t>
  </si>
  <si>
    <t>Salário mínimo nacional (1)</t>
  </si>
  <si>
    <t>Acordo</t>
  </si>
  <si>
    <t>Variação Emprego Absoluta de 01-03-2018 a 28-02-2019</t>
  </si>
  <si>
    <r>
      <t>Custo jg. compl. + 1</t>
    </r>
    <r>
      <rPr>
        <sz val="10"/>
        <rFont val="Arial"/>
        <family val="2"/>
      </rPr>
      <t xml:space="preserve"> recap./ km rodado</t>
    </r>
  </si>
  <si>
    <t>PREÇO POR METRO CÚBICO COLETADO:  [A/B]</t>
  </si>
  <si>
    <t>1.3. Motorista</t>
  </si>
  <si>
    <t>1.1. Auxiliar</t>
  </si>
  <si>
    <t>R$/m³</t>
  </si>
  <si>
    <t>Auxiliar</t>
  </si>
  <si>
    <t>5. Custos de destinação final</t>
  </si>
  <si>
    <t>M³ coletados por mês</t>
  </si>
  <si>
    <t>CUSTO MENSAL COM DESTINAÇÃO FINAL (R$/mês)</t>
  </si>
  <si>
    <t>Custo do jogo de pneus 275/80 R22,5</t>
  </si>
  <si>
    <t>2.1. Uniformes e EPIs para Motorista e Auxiliar</t>
  </si>
  <si>
    <t>Quantidade máxima de dejetos coletados por mês</t>
  </si>
  <si>
    <t>Quantidade máxima de dejetos coletados por ano</t>
  </si>
  <si>
    <t>3.1.4. Consumos (para transporte para coleta de resíduos e destinação final)</t>
  </si>
  <si>
    <t>Alavanca de ferro lisa 1,8m</t>
  </si>
  <si>
    <t>Pá de bico com cabo</t>
  </si>
  <si>
    <t>Pá de corte com cabo</t>
  </si>
  <si>
    <t>Marreta 10Kg com cabo</t>
  </si>
  <si>
    <t>Enxada 2,5 libras com cabo</t>
  </si>
  <si>
    <t>Cavadeira articulada metálica com cabo</t>
  </si>
  <si>
    <t>Talhadeira de aço 10"</t>
  </si>
  <si>
    <t>4. Ferramentas</t>
  </si>
  <si>
    <t>Custo Mensal com Ferramentas (R$/mês)</t>
  </si>
  <si>
    <t>Lanterna de cabeça recarregável com 3 LEDs</t>
  </si>
  <si>
    <t>Custo de aquisição de tanque de 10m³</t>
  </si>
  <si>
    <t>Vida útil de tanque de 10m³</t>
  </si>
  <si>
    <t>Idade de tanque de 10m³</t>
  </si>
  <si>
    <t>Depreciação de tanque de 10m³</t>
  </si>
  <si>
    <t>Depreciação mensal de tanque de 10m³</t>
  </si>
  <si>
    <t>Custo de tanque de 10m³</t>
  </si>
  <si>
    <t>Valor de tanque de 10m³ proposto (V0)</t>
  </si>
  <si>
    <t>Investimento médio total de tanque de 10m³</t>
  </si>
  <si>
    <t>Remuneração mensal de capital do tanque</t>
  </si>
  <si>
    <t>3.1. Veículo com tanque de 10 m³</t>
  </si>
  <si>
    <t xml:space="preserve">                                                        </t>
  </si>
  <si>
    <t>Óculos de proteção</t>
  </si>
  <si>
    <t>1. Coleta de Dejetos de Fossas Sépticas</t>
  </si>
  <si>
    <t>SOMA (A+B+C)</t>
  </si>
  <si>
    <t>CÁLCULO DAS VERBAS INDENIZATÓRIAS DOS EMPREGADOS NO SETOR DE LIMPEZA DE FOSSAS SÉPTICAS</t>
  </si>
  <si>
    <t>4. Nível Setorial: selecione "Classe de atividade econômica segundo a classificação CNAE – versão 2.0 (669 categorias)" e marque a opção "37029 – Atividades relacionadas a esgoto, exceto a gestão de redes"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</si>
</sst>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&quot;R$ &quot;#,##0.00_);\(&quot;R$ &quot;#,##0.00\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&quot;R$ &quot;#,##0.00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29">
    <xf numFmtId="0" fontId="0" fillId="0" borderId="0" xfId="0"/>
    <xf numFmtId="0" fontId="6" fillId="0" borderId="0" xfId="0" applyFo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6" fontId="6" fillId="0" borderId="1" xfId="3" applyNumberFormat="1" applyFont="1" applyBorder="1" applyAlignment="1">
      <alignment vertical="center"/>
    </xf>
    <xf numFmtId="165" fontId="4" fillId="0" borderId="0" xfId="3" applyFont="1" applyAlignment="1">
      <alignment vertical="center"/>
    </xf>
    <xf numFmtId="165" fontId="0" fillId="0" borderId="11" xfId="3" applyFont="1" applyBorder="1" applyAlignment="1">
      <alignment vertical="center"/>
    </xf>
    <xf numFmtId="165" fontId="3" fillId="0" borderId="12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5" fontId="0" fillId="0" borderId="9" xfId="3" applyFont="1" applyBorder="1" applyAlignment="1">
      <alignment vertical="center"/>
    </xf>
    <xf numFmtId="165" fontId="3" fillId="0" borderId="13" xfId="3" applyFont="1" applyBorder="1" applyAlignment="1">
      <alignment horizontal="right" vertical="center"/>
    </xf>
    <xf numFmtId="165" fontId="0" fillId="0" borderId="14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165" fontId="10" fillId="2" borderId="17" xfId="3" applyFont="1" applyFill="1" applyBorder="1" applyAlignment="1">
      <alignment horizontal="center" vertical="center"/>
    </xf>
    <xf numFmtId="165" fontId="10" fillId="2" borderId="18" xfId="3" applyFont="1" applyFill="1" applyBorder="1" applyAlignment="1">
      <alignment horizontal="center" vertical="center"/>
    </xf>
    <xf numFmtId="165" fontId="3" fillId="0" borderId="19" xfId="3" applyFont="1" applyBorder="1" applyAlignment="1">
      <alignment horizontal="center" vertical="center"/>
    </xf>
    <xf numFmtId="165" fontId="1" fillId="0" borderId="14" xfId="3" applyFont="1" applyBorder="1" applyAlignment="1">
      <alignment horizontal="left" vertical="center"/>
    </xf>
    <xf numFmtId="165" fontId="6" fillId="0" borderId="9" xfId="3" applyFont="1" applyBorder="1" applyAlignment="1">
      <alignment vertical="center"/>
    </xf>
    <xf numFmtId="165" fontId="6" fillId="0" borderId="14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5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5" fontId="6" fillId="0" borderId="19" xfId="3" applyFont="1" applyBorder="1" applyAlignment="1">
      <alignment vertical="center"/>
    </xf>
    <xf numFmtId="165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5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165" fontId="10" fillId="2" borderId="33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3" fontId="6" fillId="3" borderId="1" xfId="0" applyNumberFormat="1" applyFont="1" applyFill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5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4" xfId="3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5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165" fontId="6" fillId="0" borderId="40" xfId="3" applyFont="1" applyBorder="1" applyAlignment="1">
      <alignment vertical="center"/>
    </xf>
    <xf numFmtId="165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9" xfId="3" applyFont="1" applyFill="1" applyBorder="1" applyAlignment="1">
      <alignment vertical="center"/>
    </xf>
    <xf numFmtId="166" fontId="3" fillId="0" borderId="0" xfId="3" applyNumberFormat="1" applyFont="1" applyBorder="1" applyAlignment="1">
      <alignment horizontal="center" vertical="center"/>
    </xf>
    <xf numFmtId="0" fontId="15" fillId="0" borderId="14" xfId="0" applyFont="1" applyBorder="1"/>
    <xf numFmtId="0" fontId="6" fillId="0" borderId="0" xfId="0" applyFont="1" applyBorder="1"/>
    <xf numFmtId="0" fontId="15" fillId="0" borderId="47" xfId="0" applyFont="1" applyBorder="1"/>
    <xf numFmtId="0" fontId="15" fillId="3" borderId="20" xfId="0" applyFont="1" applyFill="1" applyBorder="1"/>
    <xf numFmtId="0" fontId="15" fillId="0" borderId="23" xfId="0" applyFont="1" applyBorder="1"/>
    <xf numFmtId="0" fontId="15" fillId="0" borderId="48" xfId="0" applyFont="1" applyBorder="1"/>
    <xf numFmtId="0" fontId="15" fillId="0" borderId="20" xfId="0" applyFont="1" applyBorder="1"/>
    <xf numFmtId="0" fontId="15" fillId="0" borderId="28" xfId="0" applyFont="1" applyBorder="1"/>
    <xf numFmtId="2" fontId="16" fillId="7" borderId="1" xfId="0" applyNumberFormat="1" applyFont="1" applyFill="1" applyBorder="1" applyAlignment="1">
      <alignment horizontal="right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2" fontId="16" fillId="7" borderId="36" xfId="0" applyNumberFormat="1" applyFont="1" applyFill="1" applyBorder="1" applyAlignment="1">
      <alignment horizontal="right" vertical="center"/>
    </xf>
    <xf numFmtId="0" fontId="16" fillId="0" borderId="2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10" fontId="16" fillId="0" borderId="20" xfId="0" applyNumberFormat="1" applyFont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0" fontId="20" fillId="0" borderId="20" xfId="0" applyNumberFormat="1" applyFont="1" applyBorder="1" applyAlignment="1">
      <alignment horizontal="right" vertical="center"/>
    </xf>
    <xf numFmtId="0" fontId="16" fillId="5" borderId="23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10" fontId="20" fillId="5" borderId="20" xfId="0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6" fillId="9" borderId="24" xfId="0" applyFont="1" applyFill="1" applyBorder="1" applyAlignment="1">
      <alignment horizontal="left" vertical="center"/>
    </xf>
    <xf numFmtId="0" fontId="20" fillId="9" borderId="36" xfId="0" applyFont="1" applyFill="1" applyBorder="1" applyAlignment="1">
      <alignment horizontal="left" vertical="center"/>
    </xf>
    <xf numFmtId="10" fontId="20" fillId="9" borderId="37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10" fontId="20" fillId="0" borderId="0" xfId="0" applyNumberFormat="1" applyFont="1" applyFill="1" applyBorder="1" applyAlignment="1">
      <alignment horizontal="right" vertical="center"/>
    </xf>
    <xf numFmtId="0" fontId="22" fillId="4" borderId="0" xfId="0" applyFont="1" applyFill="1" applyBorder="1" applyAlignment="1">
      <alignment horizontal="left" vertical="center"/>
    </xf>
    <xf numFmtId="10" fontId="16" fillId="0" borderId="0" xfId="0" applyNumberFormat="1" applyFont="1" applyFill="1" applyBorder="1" applyAlignment="1">
      <alignment horizontal="right" vertical="center"/>
    </xf>
    <xf numFmtId="0" fontId="16" fillId="4" borderId="0" xfId="0" applyFont="1" applyFill="1" applyBorder="1" applyAlignment="1">
      <alignment horizontal="left" vertical="center"/>
    </xf>
    <xf numFmtId="10" fontId="16" fillId="0" borderId="0" xfId="0" applyNumberFormat="1" applyFont="1" applyBorder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10" fontId="20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4" fillId="0" borderId="0" xfId="0" applyFont="1" applyBorder="1"/>
    <xf numFmtId="0" fontId="16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0" xfId="0" applyFont="1" applyBorder="1"/>
    <xf numFmtId="0" fontId="17" fillId="0" borderId="50" xfId="0" applyFont="1" applyBorder="1" applyAlignment="1">
      <alignment horizontal="justify"/>
    </xf>
    <xf numFmtId="0" fontId="17" fillId="0" borderId="51" xfId="0" applyFont="1" applyBorder="1" applyAlignment="1">
      <alignment horizontal="justify"/>
    </xf>
    <xf numFmtId="0" fontId="14" fillId="10" borderId="49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5" fontId="3" fillId="0" borderId="7" xfId="3" applyFont="1" applyBorder="1" applyAlignment="1">
      <alignment horizontal="right" vertical="center"/>
    </xf>
    <xf numFmtId="165" fontId="3" fillId="2" borderId="4" xfId="3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3" fillId="0" borderId="36" xfId="0" applyNumberFormat="1" applyFont="1" applyBorder="1" applyAlignment="1">
      <alignment vertical="center"/>
    </xf>
    <xf numFmtId="165" fontId="3" fillId="0" borderId="11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3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/>
    <xf numFmtId="0" fontId="3" fillId="0" borderId="5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165" fontId="3" fillId="0" borderId="52" xfId="3" applyFont="1" applyBorder="1" applyAlignment="1">
      <alignment horizontal="center" vertical="center"/>
    </xf>
    <xf numFmtId="165" fontId="3" fillId="0" borderId="52" xfId="3" applyFont="1" applyFill="1" applyBorder="1" applyAlignment="1">
      <alignment horizontal="center" vertical="center"/>
    </xf>
    <xf numFmtId="0" fontId="5" fillId="0" borderId="23" xfId="0" applyFont="1" applyBorder="1" applyAlignment="1">
      <alignment horizontal="right"/>
    </xf>
    <xf numFmtId="0" fontId="5" fillId="0" borderId="20" xfId="0" applyFont="1" applyFill="1" applyBorder="1"/>
    <xf numFmtId="0" fontId="25" fillId="0" borderId="0" xfId="0" applyFont="1"/>
    <xf numFmtId="0" fontId="1" fillId="0" borderId="2" xfId="0" applyFont="1" applyBorder="1" applyAlignment="1">
      <alignment vertical="center"/>
    </xf>
    <xf numFmtId="9" fontId="15" fillId="0" borderId="20" xfId="2" applyFont="1" applyBorder="1"/>
    <xf numFmtId="9" fontId="7" fillId="0" borderId="31" xfId="2" applyFont="1" applyBorder="1"/>
    <xf numFmtId="0" fontId="5" fillId="0" borderId="53" xfId="0" applyFont="1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5" fontId="3" fillId="2" borderId="49" xfId="3" applyFont="1" applyFill="1" applyBorder="1" applyAlignment="1">
      <alignment horizontal="center" vertical="center"/>
    </xf>
    <xf numFmtId="165" fontId="3" fillId="2" borderId="51" xfId="3" applyFont="1" applyFill="1" applyBorder="1" applyAlignment="1">
      <alignment vertical="center"/>
    </xf>
    <xf numFmtId="165" fontId="3" fillId="4" borderId="9" xfId="3" applyFont="1" applyFill="1" applyBorder="1" applyAlignment="1">
      <alignment horizontal="center" vertical="center"/>
    </xf>
    <xf numFmtId="165" fontId="1" fillId="0" borderId="10" xfId="3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5" fontId="1" fillId="3" borderId="2" xfId="3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165" fontId="1" fillId="0" borderId="1" xfId="3" applyFont="1" applyBorder="1" applyAlignment="1">
      <alignment horizontal="center" vertical="center"/>
    </xf>
    <xf numFmtId="165" fontId="1" fillId="3" borderId="0" xfId="3" applyFont="1" applyFill="1" applyAlignment="1">
      <alignment vertical="center"/>
    </xf>
    <xf numFmtId="165" fontId="1" fillId="0" borderId="0" xfId="3" applyFont="1" applyAlignment="1">
      <alignment vertical="center"/>
    </xf>
    <xf numFmtId="0" fontId="1" fillId="0" borderId="9" xfId="0" applyFont="1" applyBorder="1" applyAlignment="1">
      <alignment vertical="center"/>
    </xf>
    <xf numFmtId="165" fontId="1" fillId="4" borderId="9" xfId="3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5" fontId="1" fillId="0" borderId="2" xfId="3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5" fontId="1" fillId="6" borderId="1" xfId="3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165" fontId="1" fillId="0" borderId="0" xfId="3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1" xfId="3" applyFont="1" applyFill="1" applyBorder="1" applyAlignment="1">
      <alignment horizontal="center" vertical="center"/>
    </xf>
    <xf numFmtId="165" fontId="3" fillId="0" borderId="1" xfId="3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3" fontId="6" fillId="4" borderId="0" xfId="0" applyNumberFormat="1" applyFont="1" applyFill="1" applyBorder="1" applyAlignment="1">
      <alignment horizontal="center" vertical="center"/>
    </xf>
    <xf numFmtId="165" fontId="6" fillId="4" borderId="0" xfId="3" applyFont="1" applyFill="1" applyBorder="1" applyAlignment="1">
      <alignment horizontal="center" vertical="center"/>
    </xf>
    <xf numFmtId="167" fontId="6" fillId="0" borderId="1" xfId="3" applyNumberFormat="1" applyFont="1" applyBorder="1" applyAlignment="1">
      <alignment vertical="center"/>
    </xf>
    <xf numFmtId="167" fontId="1" fillId="0" borderId="1" xfId="3" applyNumberFormat="1" applyFont="1" applyBorder="1" applyAlignment="1">
      <alignment vertical="center"/>
    </xf>
    <xf numFmtId="9" fontId="3" fillId="3" borderId="7" xfId="2" applyNumberFormat="1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165" fontId="3" fillId="0" borderId="9" xfId="3" applyFont="1" applyBorder="1" applyAlignment="1">
      <alignment horizontal="left" vertical="center"/>
    </xf>
    <xf numFmtId="0" fontId="14" fillId="8" borderId="25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14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3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/>
    </xf>
    <xf numFmtId="0" fontId="14" fillId="8" borderId="22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/>
    </xf>
    <xf numFmtId="0" fontId="14" fillId="10" borderId="46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59"/>
  <sheetViews>
    <sheetView tabSelected="1" view="pageBreakPreview" topLeftCell="A25" zoomScaleNormal="100" zoomScaleSheetLayoutView="100" workbookViewId="0">
      <selection activeCell="F225" sqref="F225"/>
    </sheetView>
  </sheetViews>
  <sheetFormatPr defaultRowHeight="12.75" x14ac:dyDescent="0.2"/>
  <cols>
    <col min="1" max="1" width="44.5703125" style="7" customWidth="1"/>
    <col min="2" max="2" width="16" style="7" bestFit="1" customWidth="1"/>
    <col min="3" max="3" width="11.85546875" style="7" customWidth="1"/>
    <col min="4" max="4" width="14.7109375" style="8" customWidth="1"/>
    <col min="5" max="5" width="15.42578125" style="8" customWidth="1"/>
    <col min="6" max="6" width="13.28515625" style="8" customWidth="1"/>
    <col min="7" max="7" width="28.140625" style="8" customWidth="1"/>
    <col min="8" max="8" width="9.140625" style="7"/>
    <col min="9" max="9" width="14.5703125" style="7" customWidth="1"/>
    <col min="10" max="10" width="13.42578125" style="7" customWidth="1"/>
    <col min="11" max="16384" width="9.140625" style="7"/>
  </cols>
  <sheetData>
    <row r="1" spans="1:7" s="2" customFormat="1" ht="16.5" customHeight="1" thickBot="1" x14ac:dyDescent="0.25">
      <c r="A1" s="5"/>
      <c r="B1" s="3"/>
      <c r="C1" s="3"/>
      <c r="D1" s="4"/>
      <c r="E1" s="4"/>
      <c r="F1" s="4"/>
      <c r="G1" s="4"/>
    </row>
    <row r="2" spans="1:7" s="6" customFormat="1" ht="18" x14ac:dyDescent="0.2">
      <c r="A2" s="299" t="s">
        <v>242</v>
      </c>
      <c r="B2" s="300"/>
      <c r="C2" s="300"/>
      <c r="D2" s="300"/>
      <c r="E2" s="300"/>
      <c r="F2" s="301"/>
      <c r="G2" s="34"/>
    </row>
    <row r="3" spans="1:7" s="6" customFormat="1" ht="21.75" customHeight="1" x14ac:dyDescent="0.2">
      <c r="A3" s="302" t="s">
        <v>34</v>
      </c>
      <c r="B3" s="303"/>
      <c r="C3" s="303"/>
      <c r="D3" s="303"/>
      <c r="E3" s="303"/>
      <c r="F3" s="304"/>
      <c r="G3" s="34"/>
    </row>
    <row r="4" spans="1:7" s="2" customFormat="1" ht="10.9" customHeight="1" thickBot="1" x14ac:dyDescent="0.25">
      <c r="A4" s="139"/>
      <c r="B4" s="140"/>
      <c r="C4" s="140"/>
      <c r="D4" s="141"/>
      <c r="E4" s="141"/>
      <c r="F4" s="142"/>
      <c r="G4" s="4"/>
    </row>
    <row r="5" spans="1:7" s="2" customFormat="1" ht="15.75" customHeight="1" thickBot="1" x14ac:dyDescent="0.25">
      <c r="A5" s="308" t="s">
        <v>154</v>
      </c>
      <c r="B5" s="309"/>
      <c r="C5" s="309"/>
      <c r="D5" s="309"/>
      <c r="E5" s="309"/>
      <c r="F5" s="310"/>
      <c r="G5" s="4"/>
    </row>
    <row r="6" spans="1:7" s="2" customFormat="1" ht="15.75" customHeight="1" x14ac:dyDescent="0.2">
      <c r="A6" s="59" t="s">
        <v>153</v>
      </c>
      <c r="B6" s="37"/>
      <c r="C6" s="37"/>
      <c r="D6" s="237"/>
      <c r="E6" s="105" t="s">
        <v>29</v>
      </c>
      <c r="F6" s="38" t="s">
        <v>1</v>
      </c>
      <c r="G6" s="4"/>
    </row>
    <row r="7" spans="1:7" s="9" customFormat="1" ht="15.75" customHeight="1" x14ac:dyDescent="0.2">
      <c r="A7" s="114" t="str">
        <f>A40</f>
        <v>1. Mão-de-obra</v>
      </c>
      <c r="B7" s="115"/>
      <c r="C7" s="116"/>
      <c r="D7" s="116"/>
      <c r="E7" s="234">
        <f>+F87</f>
        <v>517.25799185769233</v>
      </c>
      <c r="F7" s="117">
        <f t="shared" ref="F7:F24" si="0">IFERROR(E7/$E$25,0)</f>
        <v>0.21740909863957961</v>
      </c>
      <c r="G7" s="41"/>
    </row>
    <row r="8" spans="1:7" s="2" customFormat="1" ht="15.75" customHeight="1" x14ac:dyDescent="0.2">
      <c r="A8" s="46" t="str">
        <f>A42</f>
        <v>1.1. Auxiliar</v>
      </c>
      <c r="B8" s="42"/>
      <c r="C8" s="44"/>
      <c r="D8" s="44"/>
      <c r="E8" s="235">
        <f>F52</f>
        <v>122.06817360000001</v>
      </c>
      <c r="F8" s="53">
        <f t="shared" si="0"/>
        <v>5.1306566573565957E-2</v>
      </c>
      <c r="G8" s="4"/>
    </row>
    <row r="9" spans="1:7" s="2" customFormat="1" ht="15.75" customHeight="1" x14ac:dyDescent="0.2">
      <c r="A9" s="46" t="str">
        <f>A54</f>
        <v>1.3. Motorista</v>
      </c>
      <c r="B9" s="42"/>
      <c r="C9" s="44"/>
      <c r="D9" s="44"/>
      <c r="E9" s="235">
        <f>F64</f>
        <v>169.48272595000003</v>
      </c>
      <c r="F9" s="53">
        <f t="shared" si="0"/>
        <v>7.1235413012054036E-2</v>
      </c>
      <c r="G9" s="4"/>
    </row>
    <row r="10" spans="1:7" s="2" customFormat="1" ht="15.75" customHeight="1" x14ac:dyDescent="0.2">
      <c r="A10" s="46" t="str">
        <f>A67</f>
        <v>1.5. Vale Transporte</v>
      </c>
      <c r="B10" s="42"/>
      <c r="C10" s="44"/>
      <c r="D10" s="44"/>
      <c r="E10" s="235">
        <f>F73</f>
        <v>64.832092307692307</v>
      </c>
      <c r="F10" s="53">
        <f t="shared" si="0"/>
        <v>2.724962586061162E-2</v>
      </c>
      <c r="G10" s="4"/>
    </row>
    <row r="11" spans="1:7" s="2" customFormat="1" ht="15.75" customHeight="1" x14ac:dyDescent="0.2">
      <c r="A11" s="46" t="str">
        <f>A75</f>
        <v>1.6. Vale-refeição (diário)</v>
      </c>
      <c r="B11" s="42"/>
      <c r="C11" s="44"/>
      <c r="D11" s="44"/>
      <c r="E11" s="235">
        <f>F79</f>
        <v>152</v>
      </c>
      <c r="F11" s="53">
        <f t="shared" si="0"/>
        <v>6.3887235216092603E-2</v>
      </c>
      <c r="G11" s="4"/>
    </row>
    <row r="12" spans="1:7" s="2" customFormat="1" ht="15.75" customHeight="1" x14ac:dyDescent="0.2">
      <c r="A12" s="46" t="str">
        <f>A81</f>
        <v>1.7. Auxílio Alimentação (mensal)</v>
      </c>
      <c r="B12" s="42"/>
      <c r="C12" s="44"/>
      <c r="D12" s="44"/>
      <c r="E12" s="235">
        <f>F85</f>
        <v>8.875</v>
      </c>
      <c r="F12" s="53">
        <f t="shared" si="0"/>
        <v>3.7302579772554066E-3</v>
      </c>
      <c r="G12" s="4"/>
    </row>
    <row r="13" spans="1:7" s="9" customFormat="1" ht="15.75" customHeight="1" x14ac:dyDescent="0.2">
      <c r="A13" s="297" t="str">
        <f>A89</f>
        <v>2. Uniformes e Equipamentos de Proteção Individual</v>
      </c>
      <c r="B13" s="298"/>
      <c r="C13" s="298"/>
      <c r="D13" s="116"/>
      <c r="E13" s="234">
        <f>+F103</f>
        <v>19.910166666666669</v>
      </c>
      <c r="F13" s="117">
        <f t="shared" si="0"/>
        <v>8.3684572435851305E-3</v>
      </c>
      <c r="G13" s="41"/>
    </row>
    <row r="14" spans="1:7" s="9" customFormat="1" ht="15.75" customHeight="1" x14ac:dyDescent="0.2">
      <c r="A14" s="125" t="str">
        <f>A105</f>
        <v>3. Veículos e Equipamentos</v>
      </c>
      <c r="B14" s="126"/>
      <c r="C14" s="116"/>
      <c r="D14" s="116"/>
      <c r="E14" s="234">
        <f>+F182</f>
        <v>555.01363851986116</v>
      </c>
      <c r="F14" s="117">
        <f t="shared" si="0"/>
        <v>0.23327820310695896</v>
      </c>
      <c r="G14" s="41"/>
    </row>
    <row r="15" spans="1:7" s="2" customFormat="1" ht="15.75" customHeight="1" x14ac:dyDescent="0.2">
      <c r="A15" s="60" t="str">
        <f>A107</f>
        <v>3.1. Veículo com tanque de 10 m³</v>
      </c>
      <c r="B15" s="43"/>
      <c r="C15" s="44"/>
      <c r="D15" s="44"/>
      <c r="E15" s="235">
        <f>SUM(E16:E21)</f>
        <v>555.01363851986116</v>
      </c>
      <c r="F15" s="132">
        <f t="shared" si="0"/>
        <v>0.23327820310695896</v>
      </c>
      <c r="G15" s="4"/>
    </row>
    <row r="16" spans="1:7" s="2" customFormat="1" ht="15.75" customHeight="1" x14ac:dyDescent="0.2">
      <c r="A16" s="60" t="str">
        <f>A109</f>
        <v>3.1.1. Depreciação</v>
      </c>
      <c r="B16" s="43"/>
      <c r="C16" s="44"/>
      <c r="D16" s="44"/>
      <c r="E16" s="235">
        <f>F123</f>
        <v>38.619758833333336</v>
      </c>
      <c r="F16" s="132">
        <f t="shared" si="0"/>
        <v>1.6232300109039057E-2</v>
      </c>
      <c r="G16" s="4"/>
    </row>
    <row r="17" spans="1:7" s="2" customFormat="1" ht="15.75" customHeight="1" x14ac:dyDescent="0.2">
      <c r="A17" s="60" t="str">
        <f>A125</f>
        <v>3.1.2. Remuneração do Capital</v>
      </c>
      <c r="B17" s="43"/>
      <c r="C17" s="44"/>
      <c r="D17" s="44"/>
      <c r="E17" s="235">
        <f>F139</f>
        <v>29.985111019861108</v>
      </c>
      <c r="F17" s="132">
        <f t="shared" si="0"/>
        <v>1.2603064741490243E-2</v>
      </c>
      <c r="G17" s="4"/>
    </row>
    <row r="18" spans="1:7" s="2" customFormat="1" ht="15.75" customHeight="1" x14ac:dyDescent="0.2">
      <c r="A18" s="60" t="str">
        <f>A141</f>
        <v>3.1.3. Impostos e Seguros</v>
      </c>
      <c r="B18" s="43"/>
      <c r="C18" s="44"/>
      <c r="D18" s="44"/>
      <c r="E18" s="235">
        <f>F147</f>
        <v>14.992416666666669</v>
      </c>
      <c r="F18" s="132">
        <f t="shared" si="0"/>
        <v>6.3014740134276345E-3</v>
      </c>
      <c r="G18" s="4"/>
    </row>
    <row r="19" spans="1:7" s="2" customFormat="1" ht="15.75" customHeight="1" x14ac:dyDescent="0.2">
      <c r="A19" s="60" t="str">
        <f>A149</f>
        <v>3.1.4. Consumos (para transporte para coleta de resíduos e destinação final)</v>
      </c>
      <c r="B19" s="43"/>
      <c r="C19" s="44"/>
      <c r="D19" s="44"/>
      <c r="E19" s="235">
        <f>F165</f>
        <v>216.339552</v>
      </c>
      <c r="F19" s="132">
        <f t="shared" si="0"/>
        <v>9.0929841086632213E-2</v>
      </c>
      <c r="G19" s="4"/>
    </row>
    <row r="20" spans="1:7" s="2" customFormat="1" ht="15.75" customHeight="1" x14ac:dyDescent="0.2">
      <c r="A20" s="60" t="str">
        <f>A167</f>
        <v>3.1.5. Manutenção</v>
      </c>
      <c r="B20" s="43"/>
      <c r="C20" s="44"/>
      <c r="D20" s="44"/>
      <c r="E20" s="235">
        <f>F170</f>
        <v>195.35999999999999</v>
      </c>
      <c r="F20" s="132">
        <f t="shared" si="0"/>
        <v>8.2111909682999015E-2</v>
      </c>
      <c r="G20" s="4"/>
    </row>
    <row r="21" spans="1:7" s="2" customFormat="1" ht="15.75" customHeight="1" x14ac:dyDescent="0.2">
      <c r="A21" s="60" t="str">
        <f>A172</f>
        <v>3.1.6. Pneus</v>
      </c>
      <c r="B21" s="43"/>
      <c r="C21" s="44"/>
      <c r="D21" s="44"/>
      <c r="E21" s="235">
        <f>F179</f>
        <v>59.716800000000006</v>
      </c>
      <c r="F21" s="132">
        <f t="shared" si="0"/>
        <v>2.5099613473370783E-2</v>
      </c>
      <c r="G21" s="4"/>
    </row>
    <row r="22" spans="1:7" s="9" customFormat="1" ht="15.75" customHeight="1" x14ac:dyDescent="0.2">
      <c r="A22" s="125" t="str">
        <f>A184</f>
        <v>4. Ferramentas</v>
      </c>
      <c r="B22" s="126"/>
      <c r="C22" s="116"/>
      <c r="D22" s="116"/>
      <c r="E22" s="234">
        <f>+F198</f>
        <v>2.4150416666666668</v>
      </c>
      <c r="F22" s="117">
        <f t="shared" si="0"/>
        <v>1.0150679935197213E-3</v>
      </c>
      <c r="G22" s="41"/>
    </row>
    <row r="23" spans="1:7" s="9" customFormat="1" ht="15.75" customHeight="1" x14ac:dyDescent="0.2">
      <c r="A23" s="32" t="str">
        <f>A202</f>
        <v>5. Custos de destinação final</v>
      </c>
      <c r="B23" s="126"/>
      <c r="C23" s="116"/>
      <c r="D23" s="116"/>
      <c r="E23" s="234">
        <f>+F206</f>
        <v>1000</v>
      </c>
      <c r="F23" s="117">
        <f t="shared" si="0"/>
        <v>0.42031075800060924</v>
      </c>
      <c r="G23" s="41"/>
    </row>
    <row r="24" spans="1:7" s="9" customFormat="1" ht="15.75" customHeight="1" thickBot="1" x14ac:dyDescent="0.25">
      <c r="A24" s="125" t="str">
        <f>A210</f>
        <v>6. Benefícios e Despesas Indiretas - BDI</v>
      </c>
      <c r="B24" s="126"/>
      <c r="C24" s="116"/>
      <c r="D24" s="116"/>
      <c r="E24" s="236">
        <f>+F216</f>
        <v>284.59517806483063</v>
      </c>
      <c r="F24" s="117">
        <f t="shared" si="0"/>
        <v>0.11961841501574731</v>
      </c>
      <c r="G24" s="41"/>
    </row>
    <row r="25" spans="1:7" s="2" customFormat="1" ht="15.75" customHeight="1" thickBot="1" x14ac:dyDescent="0.25">
      <c r="A25" s="39" t="s">
        <v>183</v>
      </c>
      <c r="B25" s="40"/>
      <c r="C25" s="24"/>
      <c r="D25" s="24"/>
      <c r="E25" s="104">
        <f>E7+E13+E14+E22+E23+E24</f>
        <v>2379.1920167757175</v>
      </c>
      <c r="F25" s="131">
        <f>F7+F13+F14+F22+F23+F24</f>
        <v>1</v>
      </c>
      <c r="G25" s="4"/>
    </row>
    <row r="27" spans="1:7" ht="13.5" thickBot="1" x14ac:dyDescent="0.25"/>
    <row r="28" spans="1:7" s="2" customFormat="1" ht="15" customHeight="1" thickBot="1" x14ac:dyDescent="0.25">
      <c r="A28" s="308" t="s">
        <v>74</v>
      </c>
      <c r="B28" s="309"/>
      <c r="C28" s="309"/>
      <c r="D28" s="309"/>
      <c r="E28" s="310"/>
      <c r="F28" s="8"/>
      <c r="G28" s="4"/>
    </row>
    <row r="29" spans="1:7" s="2" customFormat="1" ht="15" customHeight="1" thickBot="1" x14ac:dyDescent="0.25">
      <c r="A29" s="305" t="s">
        <v>30</v>
      </c>
      <c r="B29" s="306"/>
      <c r="C29" s="306"/>
      <c r="D29" s="307"/>
      <c r="E29" s="45" t="s">
        <v>31</v>
      </c>
      <c r="F29" s="8"/>
      <c r="G29" s="4"/>
    </row>
    <row r="30" spans="1:7" s="2" customFormat="1" ht="15" customHeight="1" x14ac:dyDescent="0.2">
      <c r="A30" s="68" t="str">
        <f>+A42</f>
        <v>1.1. Auxiliar</v>
      </c>
      <c r="B30" s="69"/>
      <c r="C30" s="69"/>
      <c r="D30" s="70"/>
      <c r="E30" s="71">
        <v>1</v>
      </c>
      <c r="F30" s="8"/>
      <c r="G30" s="4"/>
    </row>
    <row r="31" spans="1:7" s="2" customFormat="1" ht="15" customHeight="1" x14ac:dyDescent="0.2">
      <c r="A31" s="62" t="str">
        <f>+A54</f>
        <v>1.3. Motorista</v>
      </c>
      <c r="B31" s="61"/>
      <c r="C31" s="61"/>
      <c r="D31" s="72"/>
      <c r="E31" s="65">
        <f>C63</f>
        <v>1</v>
      </c>
      <c r="F31" s="8"/>
      <c r="G31" s="4"/>
    </row>
    <row r="32" spans="1:7" s="2" customFormat="1" ht="15" customHeight="1" thickBot="1" x14ac:dyDescent="0.25">
      <c r="A32" s="66" t="s">
        <v>46</v>
      </c>
      <c r="B32" s="67"/>
      <c r="C32" s="67"/>
      <c r="D32" s="73"/>
      <c r="E32" s="74">
        <f>SUM(E30:E31)</f>
        <v>2</v>
      </c>
      <c r="F32" s="8"/>
      <c r="G32" s="4"/>
    </row>
    <row r="33" spans="1:7" s="2" customFormat="1" ht="15" customHeight="1" thickBot="1" x14ac:dyDescent="0.25">
      <c r="A33" s="118"/>
      <c r="B33" s="119"/>
      <c r="C33" s="54"/>
      <c r="D33" s="54"/>
      <c r="E33" s="120"/>
      <c r="F33" s="8"/>
      <c r="G33" s="4"/>
    </row>
    <row r="34" spans="1:7" s="2" customFormat="1" ht="15" customHeight="1" x14ac:dyDescent="0.2">
      <c r="A34" s="295" t="s">
        <v>45</v>
      </c>
      <c r="B34" s="296"/>
      <c r="C34" s="296"/>
      <c r="D34" s="296"/>
      <c r="E34" s="45" t="s">
        <v>31</v>
      </c>
      <c r="F34" s="7"/>
      <c r="G34" s="4"/>
    </row>
    <row r="35" spans="1:7" s="2" customFormat="1" ht="15" customHeight="1" thickBot="1" x14ac:dyDescent="0.25">
      <c r="A35" s="121" t="str">
        <f>+A107</f>
        <v>3.1. Veículo com tanque de 10 m³</v>
      </c>
      <c r="B35" s="122"/>
      <c r="C35" s="122"/>
      <c r="D35" s="123"/>
      <c r="E35" s="124">
        <f>C122</f>
        <v>1</v>
      </c>
      <c r="F35" s="7"/>
      <c r="G35" s="4"/>
    </row>
    <row r="36" spans="1:7" s="2" customFormat="1" ht="15" customHeight="1" x14ac:dyDescent="0.2">
      <c r="A36" s="54"/>
      <c r="B36" s="54"/>
      <c r="C36" s="54"/>
      <c r="D36" s="49"/>
      <c r="E36" s="231"/>
      <c r="F36" s="7"/>
      <c r="G36" s="4"/>
    </row>
    <row r="37" spans="1:7" s="2" customFormat="1" ht="13.5" thickBot="1" x14ac:dyDescent="0.25">
      <c r="A37" s="54"/>
      <c r="B37" s="54"/>
      <c r="C37" s="54"/>
      <c r="D37" s="49"/>
      <c r="E37" s="63"/>
      <c r="F37" s="7"/>
      <c r="G37" s="4"/>
    </row>
    <row r="38" spans="1:7" s="9" customFormat="1" ht="15.75" customHeight="1" thickBot="1" x14ac:dyDescent="0.25">
      <c r="A38" s="238" t="s">
        <v>150</v>
      </c>
      <c r="B38" s="293">
        <v>0.05</v>
      </c>
      <c r="C38" s="33"/>
      <c r="D38" s="32"/>
      <c r="E38" s="143"/>
      <c r="G38" s="41"/>
    </row>
    <row r="39" spans="1:7" s="2" customFormat="1" ht="15.75" customHeight="1" x14ac:dyDescent="0.2">
      <c r="A39" s="54"/>
      <c r="B39" s="54"/>
      <c r="C39" s="54"/>
      <c r="D39" s="49"/>
      <c r="E39" s="63"/>
      <c r="F39" s="7"/>
      <c r="G39" s="4"/>
    </row>
    <row r="40" spans="1:7" ht="13.15" customHeight="1" x14ac:dyDescent="0.2">
      <c r="A40" s="9" t="s">
        <v>38</v>
      </c>
    </row>
    <row r="41" spans="1:7" ht="11.25" customHeight="1" x14ac:dyDescent="0.2"/>
    <row r="42" spans="1:7" ht="13.9" customHeight="1" thickBot="1" x14ac:dyDescent="0.25">
      <c r="A42" s="5" t="s">
        <v>209</v>
      </c>
    </row>
    <row r="43" spans="1:7" ht="13.9" customHeight="1" thickBot="1" x14ac:dyDescent="0.25">
      <c r="A43" s="55" t="s">
        <v>48</v>
      </c>
      <c r="B43" s="56" t="s">
        <v>49</v>
      </c>
      <c r="C43" s="56" t="s">
        <v>31</v>
      </c>
      <c r="D43" s="57" t="s">
        <v>179</v>
      </c>
      <c r="E43" s="57" t="s">
        <v>50</v>
      </c>
      <c r="F43" s="58" t="s">
        <v>51</v>
      </c>
    </row>
    <row r="44" spans="1:7" ht="13.15" customHeight="1" x14ac:dyDescent="0.2">
      <c r="A44" s="260" t="s">
        <v>202</v>
      </c>
      <c r="B44" s="12" t="s">
        <v>6</v>
      </c>
      <c r="C44" s="12">
        <v>1</v>
      </c>
      <c r="D44" s="78">
        <v>1181.58</v>
      </c>
      <c r="E44" s="13">
        <f>C44*D44</f>
        <v>1181.58</v>
      </c>
    </row>
    <row r="45" spans="1:7" ht="13.15" customHeight="1" x14ac:dyDescent="0.2">
      <c r="A45" s="260" t="s">
        <v>203</v>
      </c>
      <c r="B45" s="12"/>
      <c r="C45" s="12"/>
      <c r="D45" s="78">
        <v>1039</v>
      </c>
      <c r="E45" s="13"/>
    </row>
    <row r="46" spans="1:7" ht="13.15" customHeight="1" x14ac:dyDescent="0.2">
      <c r="A46" s="264" t="s">
        <v>166</v>
      </c>
      <c r="B46" s="15"/>
      <c r="C46" s="77">
        <v>1</v>
      </c>
      <c r="D46" s="16"/>
      <c r="E46" s="16"/>
    </row>
    <row r="47" spans="1:7" x14ac:dyDescent="0.2">
      <c r="A47" s="14" t="s">
        <v>0</v>
      </c>
      <c r="B47" s="15" t="s">
        <v>1</v>
      </c>
      <c r="C47" s="77">
        <v>30</v>
      </c>
      <c r="D47" s="75">
        <f>IF(C46=2,SUM(E44:E45),IF(C46=1,(SUM(E44:E45))*D45/D44,0))</f>
        <v>1039</v>
      </c>
      <c r="E47" s="16">
        <f>C47*D47/100</f>
        <v>311.7</v>
      </c>
    </row>
    <row r="48" spans="1:7" x14ac:dyDescent="0.2">
      <c r="A48" s="106" t="s">
        <v>2</v>
      </c>
      <c r="B48" s="107"/>
      <c r="C48" s="107"/>
      <c r="D48" s="108"/>
      <c r="E48" s="109">
        <f>SUM(E44:E47)</f>
        <v>1493.28</v>
      </c>
    </row>
    <row r="49" spans="1:7" x14ac:dyDescent="0.2">
      <c r="A49" s="14" t="s">
        <v>3</v>
      </c>
      <c r="B49" s="15" t="s">
        <v>1</v>
      </c>
      <c r="C49" s="130">
        <f>'2.Encargos Sociais'!$C$27*100</f>
        <v>63.49</v>
      </c>
      <c r="D49" s="16">
        <f>E48</f>
        <v>1493.28</v>
      </c>
      <c r="E49" s="16">
        <f>D49*C49/100</f>
        <v>948.08347200000003</v>
      </c>
    </row>
    <row r="50" spans="1:7" x14ac:dyDescent="0.2">
      <c r="A50" s="106" t="s">
        <v>54</v>
      </c>
      <c r="B50" s="107"/>
      <c r="C50" s="107"/>
      <c r="D50" s="108"/>
      <c r="E50" s="109">
        <f>E48+E49</f>
        <v>2441.363472</v>
      </c>
    </row>
    <row r="51" spans="1:7" ht="13.5" thickBot="1" x14ac:dyDescent="0.25">
      <c r="A51" s="14" t="s">
        <v>4</v>
      </c>
      <c r="B51" s="15" t="s">
        <v>5</v>
      </c>
      <c r="C51" s="77">
        <v>1</v>
      </c>
      <c r="D51" s="16">
        <f>E50</f>
        <v>2441.363472</v>
      </c>
      <c r="E51" s="16">
        <f>C51*D51</f>
        <v>2441.363472</v>
      </c>
      <c r="G51" s="4"/>
    </row>
    <row r="52" spans="1:7" ht="13.9" customHeight="1" thickBot="1" x14ac:dyDescent="0.25">
      <c r="D52" s="112" t="s">
        <v>149</v>
      </c>
      <c r="E52" s="291">
        <f>$B$38</f>
        <v>0.05</v>
      </c>
      <c r="F52" s="113">
        <f>E51*E52</f>
        <v>122.06817360000001</v>
      </c>
      <c r="G52" s="4"/>
    </row>
    <row r="53" spans="1:7" ht="11.25" customHeight="1" x14ac:dyDescent="0.2"/>
    <row r="54" spans="1:7" ht="13.5" thickBot="1" x14ac:dyDescent="0.25">
      <c r="A54" s="5" t="s">
        <v>208</v>
      </c>
    </row>
    <row r="55" spans="1:7" s="10" customFormat="1" ht="13.15" customHeight="1" thickBot="1" x14ac:dyDescent="0.25">
      <c r="A55" s="55" t="s">
        <v>48</v>
      </c>
      <c r="B55" s="56" t="s">
        <v>49</v>
      </c>
      <c r="C55" s="56" t="s">
        <v>31</v>
      </c>
      <c r="D55" s="57" t="s">
        <v>179</v>
      </c>
      <c r="E55" s="57" t="s">
        <v>50</v>
      </c>
      <c r="F55" s="58" t="s">
        <v>51</v>
      </c>
      <c r="G55" s="8"/>
    </row>
    <row r="56" spans="1:7" x14ac:dyDescent="0.2">
      <c r="A56" s="260" t="s">
        <v>202</v>
      </c>
      <c r="B56" s="12" t="s">
        <v>6</v>
      </c>
      <c r="C56" s="12">
        <v>1</v>
      </c>
      <c r="D56" s="78">
        <v>1761.61</v>
      </c>
      <c r="E56" s="13">
        <f>C56*D56</f>
        <v>1761.61</v>
      </c>
    </row>
    <row r="57" spans="1:7" x14ac:dyDescent="0.2">
      <c r="A57" s="260" t="s">
        <v>203</v>
      </c>
      <c r="B57" s="12" t="s">
        <v>6</v>
      </c>
      <c r="C57" s="12">
        <v>1</v>
      </c>
      <c r="D57" s="78">
        <v>1039</v>
      </c>
      <c r="E57" s="13"/>
    </row>
    <row r="58" spans="1:7" x14ac:dyDescent="0.2">
      <c r="A58" s="264" t="s">
        <v>166</v>
      </c>
      <c r="B58" s="15"/>
      <c r="C58" s="80">
        <v>1</v>
      </c>
      <c r="D58" s="16"/>
      <c r="E58" s="16"/>
    </row>
    <row r="59" spans="1:7" x14ac:dyDescent="0.2">
      <c r="A59" s="264" t="s">
        <v>0</v>
      </c>
      <c r="B59" s="15" t="s">
        <v>1</v>
      </c>
      <c r="C59" s="77">
        <v>30</v>
      </c>
      <c r="D59" s="75">
        <f>IF(C58=2,SUM(E56:E57),IF(C58=1,(SUM(E56:E57))*D57/D56,0))</f>
        <v>1039</v>
      </c>
      <c r="E59" s="16">
        <f>C59*D59/100</f>
        <v>311.7</v>
      </c>
    </row>
    <row r="60" spans="1:7" s="9" customFormat="1" x14ac:dyDescent="0.2">
      <c r="A60" s="93" t="s">
        <v>2</v>
      </c>
      <c r="B60" s="107"/>
      <c r="C60" s="107"/>
      <c r="D60" s="108"/>
      <c r="E60" s="95">
        <f>SUM(E56:E59)</f>
        <v>2073.31</v>
      </c>
      <c r="F60" s="41"/>
      <c r="G60" s="41"/>
    </row>
    <row r="61" spans="1:7" x14ac:dyDescent="0.2">
      <c r="A61" s="14" t="s">
        <v>3</v>
      </c>
      <c r="B61" s="15" t="s">
        <v>1</v>
      </c>
      <c r="C61" s="130">
        <f>'2.Encargos Sociais'!$C$27*100</f>
        <v>63.49</v>
      </c>
      <c r="D61" s="16">
        <f>E60</f>
        <v>2073.31</v>
      </c>
      <c r="E61" s="16">
        <f>D61*C61/100</f>
        <v>1316.3445190000002</v>
      </c>
    </row>
    <row r="62" spans="1:7" s="9" customFormat="1" x14ac:dyDescent="0.2">
      <c r="A62" s="93" t="s">
        <v>192</v>
      </c>
      <c r="B62" s="244"/>
      <c r="C62" s="244"/>
      <c r="D62" s="245"/>
      <c r="E62" s="95">
        <f>E60+E61</f>
        <v>3389.6545190000002</v>
      </c>
      <c r="F62" s="41"/>
      <c r="G62" s="41"/>
    </row>
    <row r="63" spans="1:7" ht="13.5" thickBot="1" x14ac:dyDescent="0.25">
      <c r="A63" s="14" t="s">
        <v>4</v>
      </c>
      <c r="B63" s="15" t="s">
        <v>5</v>
      </c>
      <c r="C63" s="77">
        <v>1</v>
      </c>
      <c r="D63" s="16">
        <f>E62</f>
        <v>3389.6545190000002</v>
      </c>
      <c r="E63" s="16">
        <f>C63*D63</f>
        <v>3389.6545190000002</v>
      </c>
    </row>
    <row r="64" spans="1:7" ht="13.5" thickBot="1" x14ac:dyDescent="0.25">
      <c r="D64" s="112" t="s">
        <v>149</v>
      </c>
      <c r="E64" s="291">
        <f>$B$38</f>
        <v>0.05</v>
      </c>
      <c r="F64" s="113">
        <f>E63*E64</f>
        <v>169.48272595000003</v>
      </c>
    </row>
    <row r="65" spans="1:7" ht="14.25" customHeight="1" x14ac:dyDescent="0.2"/>
    <row r="66" spans="1:7" ht="11.25" customHeight="1" x14ac:dyDescent="0.2">
      <c r="G66" s="7"/>
    </row>
    <row r="67" spans="1:7" ht="13.5" thickBot="1" x14ac:dyDescent="0.25">
      <c r="A67" s="7" t="s">
        <v>75</v>
      </c>
      <c r="B67" s="83"/>
      <c r="D67" s="7"/>
      <c r="E67" s="7"/>
      <c r="G67" s="7"/>
    </row>
    <row r="68" spans="1:7" ht="13.5" thickBot="1" x14ac:dyDescent="0.25">
      <c r="A68" s="55" t="s">
        <v>48</v>
      </c>
      <c r="B68" s="56" t="s">
        <v>49</v>
      </c>
      <c r="C68" s="56" t="s">
        <v>31</v>
      </c>
      <c r="D68" s="57" t="s">
        <v>179</v>
      </c>
      <c r="E68" s="57" t="s">
        <v>50</v>
      </c>
      <c r="F68" s="58" t="s">
        <v>51</v>
      </c>
      <c r="G68" s="7"/>
    </row>
    <row r="69" spans="1:7" x14ac:dyDescent="0.2">
      <c r="A69" s="264" t="s">
        <v>70</v>
      </c>
      <c r="B69" s="15" t="s">
        <v>27</v>
      </c>
      <c r="C69" s="84">
        <v>1</v>
      </c>
      <c r="D69" s="82">
        <v>5.75</v>
      </c>
      <c r="E69" s="16"/>
      <c r="G69" s="7"/>
    </row>
    <row r="70" spans="1:7" x14ac:dyDescent="0.2">
      <c r="A70" s="264" t="s">
        <v>71</v>
      </c>
      <c r="B70" s="15" t="s">
        <v>72</v>
      </c>
      <c r="C70" s="81">
        <v>4</v>
      </c>
      <c r="D70" s="16"/>
      <c r="E70" s="16"/>
      <c r="G70" s="7"/>
    </row>
    <row r="71" spans="1:7" x14ac:dyDescent="0.2">
      <c r="A71" s="264" t="s">
        <v>211</v>
      </c>
      <c r="B71" s="15" t="s">
        <v>7</v>
      </c>
      <c r="C71" s="35">
        <f>$C$70*2*(C51)</f>
        <v>8</v>
      </c>
      <c r="D71" s="13">
        <f>IFERROR((($C$70*2*$D$69)-(E44*0.06*C70/26))/($C$70*2),"-")</f>
        <v>4.3866384615384622</v>
      </c>
      <c r="E71" s="16">
        <f>IFERROR(C71*D71,"-")</f>
        <v>35.093107692307697</v>
      </c>
      <c r="G71" s="7"/>
    </row>
    <row r="72" spans="1:7" ht="13.5" thickBot="1" x14ac:dyDescent="0.25">
      <c r="A72" s="260" t="s">
        <v>35</v>
      </c>
      <c r="B72" s="12" t="s">
        <v>7</v>
      </c>
      <c r="C72" s="35">
        <f>$C$70*2*(C63)</f>
        <v>8</v>
      </c>
      <c r="D72" s="13">
        <f>IFERROR((($C$70*2*$D$69)-(E56*0.06*C70/26))/($C$70*2),"-")</f>
        <v>3.7173730769230771</v>
      </c>
      <c r="E72" s="13">
        <f>IFERROR(C72*D72,"-")</f>
        <v>29.738984615384616</v>
      </c>
      <c r="G72" s="7"/>
    </row>
    <row r="73" spans="1:7" ht="13.5" thickBot="1" x14ac:dyDescent="0.25">
      <c r="F73" s="20">
        <f>SUM(E71:E72)</f>
        <v>64.832092307692307</v>
      </c>
      <c r="G73" s="7"/>
    </row>
    <row r="74" spans="1:7" ht="11.25" customHeight="1" x14ac:dyDescent="0.2">
      <c r="G74" s="7"/>
    </row>
    <row r="75" spans="1:7" ht="13.5" thickBot="1" x14ac:dyDescent="0.25">
      <c r="A75" s="7" t="s">
        <v>91</v>
      </c>
      <c r="B75" s="5" t="s">
        <v>240</v>
      </c>
      <c r="F75" s="21"/>
      <c r="G75" s="7"/>
    </row>
    <row r="76" spans="1:7" ht="13.5" thickBot="1" x14ac:dyDescent="0.25">
      <c r="A76" s="55" t="s">
        <v>48</v>
      </c>
      <c r="B76" s="56" t="s">
        <v>49</v>
      </c>
      <c r="C76" s="56" t="s">
        <v>31</v>
      </c>
      <c r="D76" s="57" t="s">
        <v>179</v>
      </c>
      <c r="E76" s="57" t="s">
        <v>50</v>
      </c>
      <c r="F76" s="58" t="s">
        <v>51</v>
      </c>
      <c r="G76" s="7"/>
    </row>
    <row r="77" spans="1:7" x14ac:dyDescent="0.2">
      <c r="A77" s="264" t="s">
        <v>211</v>
      </c>
      <c r="B77" s="15" t="s">
        <v>8</v>
      </c>
      <c r="C77" s="92">
        <f>C51*C70</f>
        <v>4</v>
      </c>
      <c r="D77" s="85">
        <v>19</v>
      </c>
      <c r="E77" s="47">
        <f>C77*D77</f>
        <v>76</v>
      </c>
      <c r="F77" s="21"/>
      <c r="G77" s="7"/>
    </row>
    <row r="78" spans="1:7" ht="13.5" thickBot="1" x14ac:dyDescent="0.25">
      <c r="A78" s="14" t="str">
        <f>+A72</f>
        <v>Motorista</v>
      </c>
      <c r="B78" s="15" t="s">
        <v>8</v>
      </c>
      <c r="C78" s="92">
        <f>C63*C70</f>
        <v>4</v>
      </c>
      <c r="D78" s="85">
        <v>19</v>
      </c>
      <c r="E78" s="47">
        <f>C78*D78</f>
        <v>76</v>
      </c>
      <c r="F78" s="21"/>
      <c r="G78" s="7"/>
    </row>
    <row r="79" spans="1:7" ht="13.5" thickBot="1" x14ac:dyDescent="0.25">
      <c r="F79" s="20">
        <f>SUM(E77:E78)</f>
        <v>152</v>
      </c>
      <c r="G79" s="7"/>
    </row>
    <row r="80" spans="1:7" x14ac:dyDescent="0.2">
      <c r="G80" s="7"/>
    </row>
    <row r="81" spans="1:7" ht="13.5" thickBot="1" x14ac:dyDescent="0.25">
      <c r="A81" s="7" t="s">
        <v>92</v>
      </c>
      <c r="F81" s="21"/>
      <c r="G81" s="7"/>
    </row>
    <row r="82" spans="1:7" ht="13.5" thickBot="1" x14ac:dyDescent="0.25">
      <c r="A82" s="55" t="s">
        <v>48</v>
      </c>
      <c r="B82" s="56" t="s">
        <v>49</v>
      </c>
      <c r="C82" s="56" t="s">
        <v>31</v>
      </c>
      <c r="D82" s="57" t="s">
        <v>179</v>
      </c>
      <c r="E82" s="57" t="s">
        <v>50</v>
      </c>
      <c r="F82" s="58" t="s">
        <v>51</v>
      </c>
      <c r="G82" s="7"/>
    </row>
    <row r="83" spans="1:7" x14ac:dyDescent="0.2">
      <c r="A83" s="14" t="str">
        <f>+A77</f>
        <v>Auxiliar</v>
      </c>
      <c r="B83" s="15" t="s">
        <v>8</v>
      </c>
      <c r="C83" s="92">
        <f>C51</f>
        <v>1</v>
      </c>
      <c r="D83" s="85">
        <v>88.75</v>
      </c>
      <c r="E83" s="47">
        <f>C83*D83</f>
        <v>88.75</v>
      </c>
      <c r="F83" s="21"/>
      <c r="G83" s="7"/>
    </row>
    <row r="84" spans="1:7" ht="13.5" thickBot="1" x14ac:dyDescent="0.25">
      <c r="A84" s="14" t="str">
        <f>+A78</f>
        <v>Motorista</v>
      </c>
      <c r="B84" s="15" t="s">
        <v>8</v>
      </c>
      <c r="C84" s="92">
        <f>C63</f>
        <v>1</v>
      </c>
      <c r="D84" s="85">
        <v>88.75</v>
      </c>
      <c r="E84" s="47">
        <f>C84*D84</f>
        <v>88.75</v>
      </c>
      <c r="F84" s="21"/>
      <c r="G84" s="7"/>
    </row>
    <row r="85" spans="1:7" ht="13.5" thickBot="1" x14ac:dyDescent="0.25">
      <c r="D85" s="112" t="s">
        <v>149</v>
      </c>
      <c r="E85" s="291">
        <f>$B$38</f>
        <v>0.05</v>
      </c>
      <c r="F85" s="20">
        <f>SUM(E83:E84)*E85</f>
        <v>8.875</v>
      </c>
      <c r="G85" s="7"/>
    </row>
    <row r="86" spans="1:7" ht="13.5" thickBot="1" x14ac:dyDescent="0.25">
      <c r="G86" s="7"/>
    </row>
    <row r="87" spans="1:7" ht="13.5" thickBot="1" x14ac:dyDescent="0.25">
      <c r="A87" s="22" t="s">
        <v>73</v>
      </c>
      <c r="B87" s="23"/>
      <c r="C87" s="23"/>
      <c r="D87" s="24"/>
      <c r="E87" s="25"/>
      <c r="F87" s="20">
        <f>F85+F79+F73+F64+F52</f>
        <v>517.25799185769233</v>
      </c>
      <c r="G87" s="7"/>
    </row>
    <row r="89" spans="1:7" x14ac:dyDescent="0.2">
      <c r="A89" s="9" t="s">
        <v>36</v>
      </c>
      <c r="G89" s="7"/>
    </row>
    <row r="90" spans="1:7" ht="11.25" customHeight="1" x14ac:dyDescent="0.2">
      <c r="G90" s="7"/>
    </row>
    <row r="91" spans="1:7" ht="13.9" customHeight="1" x14ac:dyDescent="0.2">
      <c r="A91" s="5" t="s">
        <v>216</v>
      </c>
      <c r="G91" s="7"/>
    </row>
    <row r="92" spans="1:7" ht="11.25" customHeight="1" thickBot="1" x14ac:dyDescent="0.25">
      <c r="G92" s="7"/>
    </row>
    <row r="93" spans="1:7" ht="27.75" customHeight="1" thickBot="1" x14ac:dyDescent="0.25">
      <c r="A93" s="55" t="s">
        <v>48</v>
      </c>
      <c r="B93" s="56" t="s">
        <v>49</v>
      </c>
      <c r="C93" s="246" t="s">
        <v>194</v>
      </c>
      <c r="D93" s="57" t="s">
        <v>179</v>
      </c>
      <c r="E93" s="57" t="s">
        <v>50</v>
      </c>
      <c r="F93" s="58" t="s">
        <v>51</v>
      </c>
      <c r="G93" s="7"/>
    </row>
    <row r="94" spans="1:7" ht="13.15" customHeight="1" x14ac:dyDescent="0.2">
      <c r="A94" s="14" t="s">
        <v>24</v>
      </c>
      <c r="B94" s="15" t="s">
        <v>8</v>
      </c>
      <c r="C94" s="91">
        <v>2</v>
      </c>
      <c r="D94" s="78">
        <v>37.229999999999997</v>
      </c>
      <c r="E94" s="13">
        <f t="shared" ref="E94:E98" si="1">IFERROR(D94/C94,0)</f>
        <v>18.614999999999998</v>
      </c>
      <c r="G94" s="7"/>
    </row>
    <row r="95" spans="1:7" x14ac:dyDescent="0.2">
      <c r="A95" s="14" t="s">
        <v>25</v>
      </c>
      <c r="B95" s="15" t="s">
        <v>8</v>
      </c>
      <c r="C95" s="91">
        <v>2</v>
      </c>
      <c r="D95" s="78">
        <v>32</v>
      </c>
      <c r="E95" s="13">
        <f t="shared" si="1"/>
        <v>16</v>
      </c>
      <c r="G95" s="7"/>
    </row>
    <row r="96" spans="1:7" ht="13.9" customHeight="1" x14ac:dyDescent="0.2">
      <c r="A96" s="14" t="s">
        <v>52</v>
      </c>
      <c r="B96" s="15" t="s">
        <v>39</v>
      </c>
      <c r="C96" s="91">
        <v>6</v>
      </c>
      <c r="D96" s="78">
        <v>66.95</v>
      </c>
      <c r="E96" s="13">
        <f t="shared" si="1"/>
        <v>11.158333333333333</v>
      </c>
      <c r="G96" s="7"/>
    </row>
    <row r="97" spans="1:7" x14ac:dyDescent="0.2">
      <c r="A97" s="14" t="s">
        <v>26</v>
      </c>
      <c r="B97" s="15" t="s">
        <v>39</v>
      </c>
      <c r="C97" s="91">
        <v>6</v>
      </c>
      <c r="D97" s="78">
        <v>21.3</v>
      </c>
      <c r="E97" s="13">
        <f t="shared" si="1"/>
        <v>3.5500000000000003</v>
      </c>
    </row>
    <row r="98" spans="1:7" ht="13.15" customHeight="1" x14ac:dyDescent="0.2">
      <c r="A98" s="264" t="s">
        <v>241</v>
      </c>
      <c r="B98" s="270" t="s">
        <v>8</v>
      </c>
      <c r="C98" s="91">
        <v>6</v>
      </c>
      <c r="D98" s="78">
        <v>10.67</v>
      </c>
      <c r="E98" s="13">
        <f t="shared" si="1"/>
        <v>1.7783333333333333</v>
      </c>
    </row>
    <row r="99" spans="1:7" x14ac:dyDescent="0.2">
      <c r="A99" s="14" t="s">
        <v>151</v>
      </c>
      <c r="B99" s="15" t="s">
        <v>93</v>
      </c>
      <c r="C99" s="110">
        <v>1</v>
      </c>
      <c r="D99" s="78">
        <v>148</v>
      </c>
      <c r="E99" s="16">
        <f t="shared" ref="E99:E100" si="2">C99*D99</f>
        <v>148</v>
      </c>
    </row>
    <row r="100" spans="1:7" ht="13.5" thickBot="1" x14ac:dyDescent="0.25">
      <c r="A100" s="14" t="s">
        <v>4</v>
      </c>
      <c r="B100" s="15" t="s">
        <v>5</v>
      </c>
      <c r="C100" s="64">
        <f>+C51+C63</f>
        <v>2</v>
      </c>
      <c r="D100" s="16">
        <f>+SUM(E94:E99)</f>
        <v>199.10166666666666</v>
      </c>
      <c r="E100" s="16">
        <f t="shared" si="2"/>
        <v>398.20333333333332</v>
      </c>
    </row>
    <row r="101" spans="1:7" ht="13.5" thickBot="1" x14ac:dyDescent="0.25">
      <c r="D101" s="112" t="s">
        <v>149</v>
      </c>
      <c r="E101" s="291">
        <f>$B$38</f>
        <v>0.05</v>
      </c>
      <c r="F101" s="113">
        <f>E100*E101</f>
        <v>19.910166666666669</v>
      </c>
    </row>
    <row r="102" spans="1:7" ht="11.25" customHeight="1" thickBot="1" x14ac:dyDescent="0.25"/>
    <row r="103" spans="1:7" ht="13.5" thickBot="1" x14ac:dyDescent="0.25">
      <c r="A103" s="22" t="s">
        <v>152</v>
      </c>
      <c r="B103" s="26"/>
      <c r="C103" s="26"/>
      <c r="D103" s="27"/>
      <c r="E103" s="28"/>
      <c r="F103" s="19">
        <f>F101</f>
        <v>19.910166666666669</v>
      </c>
      <c r="G103" s="7"/>
    </row>
    <row r="104" spans="1:7" ht="11.25" customHeight="1" x14ac:dyDescent="0.2">
      <c r="G104" s="7"/>
    </row>
    <row r="105" spans="1:7" x14ac:dyDescent="0.2">
      <c r="A105" s="9" t="s">
        <v>43</v>
      </c>
      <c r="G105" s="7"/>
    </row>
    <row r="106" spans="1:7" ht="11.25" customHeight="1" x14ac:dyDescent="0.2">
      <c r="B106" s="97"/>
      <c r="G106" s="7"/>
    </row>
    <row r="107" spans="1:7" x14ac:dyDescent="0.2">
      <c r="A107" s="5" t="s">
        <v>239</v>
      </c>
      <c r="G107" s="7"/>
    </row>
    <row r="108" spans="1:7" ht="11.25" customHeight="1" x14ac:dyDescent="0.2">
      <c r="G108" s="7"/>
    </row>
    <row r="109" spans="1:7" ht="13.5" thickBot="1" x14ac:dyDescent="0.25">
      <c r="A109" s="97" t="s">
        <v>37</v>
      </c>
      <c r="G109" s="7"/>
    </row>
    <row r="110" spans="1:7" ht="13.5" thickBot="1" x14ac:dyDescent="0.25">
      <c r="A110" s="55" t="s">
        <v>48</v>
      </c>
      <c r="B110" s="56" t="s">
        <v>49</v>
      </c>
      <c r="C110" s="56" t="s">
        <v>31</v>
      </c>
      <c r="D110" s="57" t="s">
        <v>179</v>
      </c>
      <c r="E110" s="57" t="s">
        <v>50</v>
      </c>
      <c r="F110" s="58" t="s">
        <v>51</v>
      </c>
      <c r="G110" s="7"/>
    </row>
    <row r="111" spans="1:7" x14ac:dyDescent="0.2">
      <c r="A111" s="11" t="s">
        <v>79</v>
      </c>
      <c r="B111" s="12" t="s">
        <v>8</v>
      </c>
      <c r="C111" s="251">
        <v>1</v>
      </c>
      <c r="D111" s="78">
        <v>127066</v>
      </c>
      <c r="E111" s="13">
        <f>C111*D111</f>
        <v>127066</v>
      </c>
      <c r="G111" s="7"/>
    </row>
    <row r="112" spans="1:7" x14ac:dyDescent="0.2">
      <c r="A112" s="14" t="s">
        <v>76</v>
      </c>
      <c r="B112" s="15" t="s">
        <v>77</v>
      </c>
      <c r="C112" s="77">
        <v>15</v>
      </c>
      <c r="D112" s="75"/>
      <c r="E112" s="16"/>
      <c r="G112" s="7"/>
    </row>
    <row r="113" spans="1:10" x14ac:dyDescent="0.2">
      <c r="A113" s="14" t="s">
        <v>163</v>
      </c>
      <c r="B113" s="15" t="s">
        <v>77</v>
      </c>
      <c r="C113" s="77">
        <v>7</v>
      </c>
      <c r="D113" s="16"/>
      <c r="E113" s="16"/>
      <c r="F113" s="18"/>
      <c r="I113" s="76"/>
      <c r="J113" s="76"/>
    </row>
    <row r="114" spans="1:10" x14ac:dyDescent="0.2">
      <c r="A114" s="14" t="s">
        <v>78</v>
      </c>
      <c r="B114" s="15" t="s">
        <v>1</v>
      </c>
      <c r="C114" s="130">
        <f>IFERROR(VLOOKUP(C112,'5. Depreciação'!A3:B17,2,FALSE),0)</f>
        <v>70.73</v>
      </c>
      <c r="D114" s="16">
        <f>E111</f>
        <v>127066</v>
      </c>
      <c r="E114" s="16">
        <f>C114*D114/100</f>
        <v>89873.781799999997</v>
      </c>
    </row>
    <row r="115" spans="1:10" ht="13.5" thickBot="1" x14ac:dyDescent="0.25">
      <c r="A115" s="253" t="s">
        <v>40</v>
      </c>
      <c r="B115" s="254" t="s">
        <v>6</v>
      </c>
      <c r="C115" s="254">
        <f>C112*12</f>
        <v>180</v>
      </c>
      <c r="D115" s="255">
        <f>IF(C113&lt;=C112,E114,0)</f>
        <v>89873.781799999997</v>
      </c>
      <c r="E115" s="255">
        <f>IFERROR(D115/C115,0)</f>
        <v>499.29878777777776</v>
      </c>
    </row>
    <row r="116" spans="1:10" ht="13.5" thickTop="1" x14ac:dyDescent="0.2">
      <c r="A116" s="260" t="s">
        <v>230</v>
      </c>
      <c r="B116" s="278" t="s">
        <v>8</v>
      </c>
      <c r="C116" s="278">
        <f>C111</f>
        <v>1</v>
      </c>
      <c r="D116" s="271">
        <v>69500</v>
      </c>
      <c r="E116" s="279">
        <f>C116*D116</f>
        <v>69500</v>
      </c>
      <c r="G116" s="7"/>
    </row>
    <row r="117" spans="1:10" x14ac:dyDescent="0.2">
      <c r="A117" s="264" t="s">
        <v>231</v>
      </c>
      <c r="B117" s="270" t="s">
        <v>77</v>
      </c>
      <c r="C117" s="280">
        <v>15</v>
      </c>
      <c r="D117" s="273"/>
      <c r="E117" s="273"/>
    </row>
    <row r="118" spans="1:10" x14ac:dyDescent="0.2">
      <c r="A118" s="264" t="s">
        <v>232</v>
      </c>
      <c r="B118" s="270" t="s">
        <v>77</v>
      </c>
      <c r="C118" s="280">
        <v>0</v>
      </c>
      <c r="D118" s="273"/>
      <c r="E118" s="273"/>
      <c r="F118" s="18"/>
      <c r="I118" s="76"/>
      <c r="J118" s="76"/>
    </row>
    <row r="119" spans="1:10" x14ac:dyDescent="0.2">
      <c r="A119" s="264" t="s">
        <v>233</v>
      </c>
      <c r="B119" s="270" t="s">
        <v>1</v>
      </c>
      <c r="C119" s="281">
        <f>IFERROR(VLOOKUP(C117,'5. Depreciação'!A3:B17,2,FALSE),0)</f>
        <v>70.73</v>
      </c>
      <c r="D119" s="273">
        <f>E116</f>
        <v>69500</v>
      </c>
      <c r="E119" s="273">
        <f>C119*D119/100</f>
        <v>49157.35</v>
      </c>
    </row>
    <row r="120" spans="1:10" x14ac:dyDescent="0.2">
      <c r="A120" s="93" t="s">
        <v>234</v>
      </c>
      <c r="B120" s="94" t="s">
        <v>6</v>
      </c>
      <c r="C120" s="94">
        <f>C117*12</f>
        <v>180</v>
      </c>
      <c r="D120" s="95">
        <f>IF(C118&lt;=C117,E119,0)</f>
        <v>49157.35</v>
      </c>
      <c r="E120" s="95">
        <f>IFERROR(D120/C120,0)</f>
        <v>273.0963888888889</v>
      </c>
    </row>
    <row r="121" spans="1:10" x14ac:dyDescent="0.2">
      <c r="A121" s="106" t="s">
        <v>197</v>
      </c>
      <c r="B121" s="107"/>
      <c r="C121" s="107"/>
      <c r="D121" s="108"/>
      <c r="E121" s="109">
        <f>E115+E120</f>
        <v>772.39517666666666</v>
      </c>
    </row>
    <row r="122" spans="1:10" ht="13.5" thickBot="1" x14ac:dyDescent="0.25">
      <c r="A122" s="93" t="s">
        <v>198</v>
      </c>
      <c r="B122" s="94" t="s">
        <v>8</v>
      </c>
      <c r="C122" s="280">
        <v>1</v>
      </c>
      <c r="D122" s="95">
        <f>E121</f>
        <v>772.39517666666666</v>
      </c>
      <c r="E122" s="109">
        <f>C122*D122</f>
        <v>772.39517666666666</v>
      </c>
    </row>
    <row r="123" spans="1:10" ht="13.5" thickBot="1" x14ac:dyDescent="0.25">
      <c r="A123" s="282"/>
      <c r="B123" s="282"/>
      <c r="C123" s="282"/>
      <c r="D123" s="283" t="s">
        <v>149</v>
      </c>
      <c r="E123" s="292">
        <f>$B$38</f>
        <v>0.05</v>
      </c>
      <c r="F123" s="19">
        <f>E122*E123</f>
        <v>38.619758833333336</v>
      </c>
    </row>
    <row r="124" spans="1:10" ht="11.25" customHeight="1" x14ac:dyDescent="0.2"/>
    <row r="125" spans="1:10" ht="13.5" thickBot="1" x14ac:dyDescent="0.25">
      <c r="A125" s="97" t="s">
        <v>83</v>
      </c>
    </row>
    <row r="126" spans="1:10" ht="13.5" thickBot="1" x14ac:dyDescent="0.25">
      <c r="A126" s="99" t="s">
        <v>48</v>
      </c>
      <c r="B126" s="100" t="s">
        <v>49</v>
      </c>
      <c r="C126" s="100" t="s">
        <v>31</v>
      </c>
      <c r="D126" s="57" t="s">
        <v>179</v>
      </c>
      <c r="E126" s="101" t="s">
        <v>50</v>
      </c>
      <c r="F126" s="58" t="s">
        <v>51</v>
      </c>
      <c r="I126" s="76"/>
      <c r="J126" s="76"/>
    </row>
    <row r="127" spans="1:10" x14ac:dyDescent="0.2">
      <c r="A127" s="14" t="s">
        <v>82</v>
      </c>
      <c r="B127" s="15" t="s">
        <v>8</v>
      </c>
      <c r="C127" s="251">
        <v>1</v>
      </c>
      <c r="D127" s="16">
        <f>D111</f>
        <v>127066</v>
      </c>
      <c r="E127" s="16">
        <f>C127*D127</f>
        <v>127066</v>
      </c>
      <c r="F127" s="18"/>
      <c r="I127" s="76"/>
      <c r="J127" s="76"/>
    </row>
    <row r="128" spans="1:10" x14ac:dyDescent="0.2">
      <c r="A128" s="14" t="s">
        <v>165</v>
      </c>
      <c r="B128" s="15" t="s">
        <v>1</v>
      </c>
      <c r="C128" s="77">
        <v>6.5</v>
      </c>
      <c r="D128" s="16"/>
      <c r="E128" s="16"/>
      <c r="F128" s="18"/>
      <c r="I128" s="76"/>
      <c r="J128" s="76"/>
    </row>
    <row r="129" spans="1:10" x14ac:dyDescent="0.2">
      <c r="A129" s="14" t="s">
        <v>164</v>
      </c>
      <c r="B129" s="15" t="s">
        <v>27</v>
      </c>
      <c r="C129" s="137">
        <f>IFERROR(IF(C113&lt;=C112,E111-(C114/(100*C112)*C113)*E111,E111-E114),0)</f>
        <v>85124.901826666668</v>
      </c>
      <c r="D129" s="16"/>
      <c r="E129" s="16"/>
      <c r="F129" s="18"/>
      <c r="I129" s="76"/>
      <c r="J129" s="76"/>
    </row>
    <row r="130" spans="1:10" x14ac:dyDescent="0.2">
      <c r="A130" s="14" t="s">
        <v>85</v>
      </c>
      <c r="B130" s="15" t="s">
        <v>27</v>
      </c>
      <c r="C130" s="75">
        <f>IFERROR(IF(C113&gt;=C112,C129,((((C129)-(E111-E114))*(((C112-C113)+1)/(2*(C112-C113))))+(E111-E114))),0)</f>
        <v>64154.352740000002</v>
      </c>
      <c r="D130" s="16"/>
      <c r="E130" s="16"/>
      <c r="F130" s="18"/>
      <c r="I130" s="76"/>
      <c r="J130" s="76"/>
    </row>
    <row r="131" spans="1:10" ht="13.5" thickBot="1" x14ac:dyDescent="0.25">
      <c r="A131" s="253" t="s">
        <v>86</v>
      </c>
      <c r="B131" s="254" t="s">
        <v>27</v>
      </c>
      <c r="C131" s="254"/>
      <c r="D131" s="256">
        <f>C128*C130/12/100</f>
        <v>347.50274400833331</v>
      </c>
      <c r="E131" s="255">
        <f>D131</f>
        <v>347.50274400833331</v>
      </c>
      <c r="F131" s="18"/>
      <c r="I131" s="76"/>
      <c r="J131" s="76"/>
    </row>
    <row r="132" spans="1:10" ht="13.5" thickTop="1" x14ac:dyDescent="0.2">
      <c r="A132" s="260" t="s">
        <v>235</v>
      </c>
      <c r="B132" s="278" t="s">
        <v>8</v>
      </c>
      <c r="C132" s="278">
        <f>C116</f>
        <v>1</v>
      </c>
      <c r="D132" s="279">
        <f>D116</f>
        <v>69500</v>
      </c>
      <c r="E132" s="279">
        <f>C132*D132</f>
        <v>69500</v>
      </c>
      <c r="F132" s="18"/>
      <c r="I132" s="76"/>
      <c r="J132" s="76"/>
    </row>
    <row r="133" spans="1:10" x14ac:dyDescent="0.2">
      <c r="A133" s="264" t="s">
        <v>165</v>
      </c>
      <c r="B133" s="270" t="s">
        <v>1</v>
      </c>
      <c r="C133" s="284">
        <f>C128</f>
        <v>6.5</v>
      </c>
      <c r="D133" s="273"/>
      <c r="E133" s="273"/>
      <c r="F133" s="18"/>
      <c r="I133" s="76"/>
      <c r="J133" s="76"/>
    </row>
    <row r="134" spans="1:10" x14ac:dyDescent="0.2">
      <c r="A134" s="264" t="s">
        <v>236</v>
      </c>
      <c r="B134" s="270" t="s">
        <v>27</v>
      </c>
      <c r="C134" s="285">
        <f>IFERROR(IF(C118&lt;=C117,E116-(C119/(100*C117)*C118)*E116,E116-E119),0)</f>
        <v>69500</v>
      </c>
      <c r="D134" s="273"/>
      <c r="E134" s="273"/>
      <c r="F134" s="18"/>
      <c r="I134" s="76"/>
      <c r="J134" s="76"/>
    </row>
    <row r="135" spans="1:10" x14ac:dyDescent="0.2">
      <c r="A135" s="264" t="s">
        <v>237</v>
      </c>
      <c r="B135" s="270" t="s">
        <v>27</v>
      </c>
      <c r="C135" s="286">
        <f>IFERROR(IF(C118&gt;=C117,C134,((((C134)-(E116-E119))*(((C117-C118)+1)/(2*(C117-C118))))+(E116-E119))),0)</f>
        <v>46559.903333333335</v>
      </c>
      <c r="D135" s="273"/>
      <c r="E135" s="273"/>
      <c r="F135" s="18"/>
      <c r="I135" s="76"/>
      <c r="J135" s="76"/>
    </row>
    <row r="136" spans="1:10" x14ac:dyDescent="0.2">
      <c r="A136" s="93" t="s">
        <v>238</v>
      </c>
      <c r="B136" s="94" t="s">
        <v>27</v>
      </c>
      <c r="C136" s="94"/>
      <c r="D136" s="287">
        <f>C133*C135/12/100</f>
        <v>252.19947638888891</v>
      </c>
      <c r="E136" s="95">
        <f>D136</f>
        <v>252.19947638888891</v>
      </c>
      <c r="F136" s="18"/>
      <c r="I136" s="76"/>
      <c r="J136" s="76"/>
    </row>
    <row r="137" spans="1:10" x14ac:dyDescent="0.2">
      <c r="A137" s="106" t="s">
        <v>197</v>
      </c>
      <c r="B137" s="107"/>
      <c r="C137" s="107"/>
      <c r="D137" s="108"/>
      <c r="E137" s="109">
        <f>E131+E136</f>
        <v>599.70222039722216</v>
      </c>
      <c r="F137" s="18"/>
      <c r="I137" s="76"/>
      <c r="J137" s="76"/>
    </row>
    <row r="138" spans="1:10" ht="13.5" thickBot="1" x14ac:dyDescent="0.25">
      <c r="A138" s="93" t="s">
        <v>198</v>
      </c>
      <c r="B138" s="94" t="s">
        <v>8</v>
      </c>
      <c r="C138" s="284">
        <f>C122</f>
        <v>1</v>
      </c>
      <c r="D138" s="95">
        <f>E137</f>
        <v>599.70222039722216</v>
      </c>
      <c r="E138" s="109">
        <f>C138*D138</f>
        <v>599.70222039722216</v>
      </c>
      <c r="F138" s="18"/>
      <c r="I138" s="76"/>
      <c r="J138" s="76"/>
    </row>
    <row r="139" spans="1:10" ht="13.5" thickBot="1" x14ac:dyDescent="0.25">
      <c r="C139" s="17"/>
      <c r="D139" s="112" t="s">
        <v>149</v>
      </c>
      <c r="E139" s="291">
        <f>$B$38</f>
        <v>0.05</v>
      </c>
      <c r="F139" s="19">
        <f>E138*E139</f>
        <v>29.985111019861108</v>
      </c>
      <c r="I139" s="76"/>
      <c r="J139" s="76"/>
    </row>
    <row r="140" spans="1:10" ht="11.25" customHeight="1" x14ac:dyDescent="0.2">
      <c r="I140" s="76"/>
      <c r="J140" s="76"/>
    </row>
    <row r="141" spans="1:10" ht="13.5" thickBot="1" x14ac:dyDescent="0.25">
      <c r="A141" s="7" t="s">
        <v>41</v>
      </c>
      <c r="I141" s="76"/>
      <c r="J141" s="76"/>
    </row>
    <row r="142" spans="1:10" ht="13.5" thickBot="1" x14ac:dyDescent="0.25">
      <c r="A142" s="55" t="s">
        <v>48</v>
      </c>
      <c r="B142" s="56" t="s">
        <v>49</v>
      </c>
      <c r="C142" s="56" t="s">
        <v>31</v>
      </c>
      <c r="D142" s="57" t="s">
        <v>179</v>
      </c>
      <c r="E142" s="57" t="s">
        <v>50</v>
      </c>
      <c r="F142" s="58" t="s">
        <v>51</v>
      </c>
      <c r="I142" s="76"/>
      <c r="J142" s="76"/>
    </row>
    <row r="143" spans="1:10" x14ac:dyDescent="0.2">
      <c r="A143" s="11" t="s">
        <v>9</v>
      </c>
      <c r="B143" s="12" t="s">
        <v>8</v>
      </c>
      <c r="C143" s="13">
        <f>C122</f>
        <v>1</v>
      </c>
      <c r="D143" s="13">
        <f>0.01*($E$111)</f>
        <v>1270.6600000000001</v>
      </c>
      <c r="E143" s="13">
        <f>C143*D143</f>
        <v>1270.6600000000001</v>
      </c>
      <c r="I143" s="76"/>
      <c r="J143" s="76"/>
    </row>
    <row r="144" spans="1:10" x14ac:dyDescent="0.2">
      <c r="A144" s="14" t="s">
        <v>148</v>
      </c>
      <c r="B144" s="15" t="s">
        <v>8</v>
      </c>
      <c r="C144" s="13">
        <f>C122</f>
        <v>1</v>
      </c>
      <c r="D144" s="79">
        <v>93.2</v>
      </c>
      <c r="E144" s="16">
        <f>C144*D144</f>
        <v>93.2</v>
      </c>
      <c r="I144" s="76"/>
      <c r="J144" s="76"/>
    </row>
    <row r="145" spans="1:10" x14ac:dyDescent="0.2">
      <c r="A145" s="14" t="s">
        <v>10</v>
      </c>
      <c r="B145" s="15" t="s">
        <v>8</v>
      </c>
      <c r="C145" s="13">
        <f>C122</f>
        <v>1</v>
      </c>
      <c r="D145" s="79">
        <v>2234.3200000000002</v>
      </c>
      <c r="E145" s="16">
        <f>C145*D145</f>
        <v>2234.3200000000002</v>
      </c>
      <c r="F145" s="29"/>
      <c r="I145" s="76"/>
      <c r="J145" s="76"/>
    </row>
    <row r="146" spans="1:10" ht="13.5" thickBot="1" x14ac:dyDescent="0.25">
      <c r="A146" s="93" t="s">
        <v>11</v>
      </c>
      <c r="B146" s="94" t="s">
        <v>6</v>
      </c>
      <c r="C146" s="94">
        <v>12</v>
      </c>
      <c r="D146" s="95">
        <f>SUM(E143:E145)</f>
        <v>3598.1800000000003</v>
      </c>
      <c r="E146" s="95">
        <f>D146/C146</f>
        <v>299.84833333333336</v>
      </c>
      <c r="I146" s="76"/>
      <c r="J146" s="76"/>
    </row>
    <row r="147" spans="1:10" ht="13.5" thickBot="1" x14ac:dyDescent="0.25">
      <c r="D147" s="112" t="s">
        <v>149</v>
      </c>
      <c r="E147" s="291">
        <f>$B$38</f>
        <v>0.05</v>
      </c>
      <c r="F147" s="113">
        <f>E146*E147</f>
        <v>14.992416666666669</v>
      </c>
      <c r="I147" s="76"/>
      <c r="J147" s="76"/>
    </row>
    <row r="148" spans="1:10" ht="11.25" customHeight="1" x14ac:dyDescent="0.2">
      <c r="I148" s="76"/>
      <c r="J148" s="76"/>
    </row>
    <row r="149" spans="1:10" x14ac:dyDescent="0.2">
      <c r="A149" s="5" t="s">
        <v>219</v>
      </c>
      <c r="B149" s="30"/>
      <c r="I149" s="76"/>
      <c r="J149" s="76"/>
    </row>
    <row r="150" spans="1:10" x14ac:dyDescent="0.2">
      <c r="B150" s="30"/>
      <c r="I150" s="76"/>
      <c r="J150" s="76"/>
    </row>
    <row r="151" spans="1:10" x14ac:dyDescent="0.2">
      <c r="A151" s="93" t="s">
        <v>88</v>
      </c>
      <c r="B151" s="103">
        <v>264</v>
      </c>
      <c r="I151" s="76"/>
      <c r="J151" s="76"/>
    </row>
    <row r="152" spans="1:10" ht="13.5" thickBot="1" x14ac:dyDescent="0.25">
      <c r="B152" s="30"/>
      <c r="I152" s="76"/>
      <c r="J152" s="76"/>
    </row>
    <row r="153" spans="1:10" ht="13.5" thickBot="1" x14ac:dyDescent="0.25">
      <c r="A153" s="55" t="s">
        <v>48</v>
      </c>
      <c r="B153" s="56" t="s">
        <v>49</v>
      </c>
      <c r="C153" s="56" t="s">
        <v>196</v>
      </c>
      <c r="D153" s="57" t="s">
        <v>179</v>
      </c>
      <c r="E153" s="57" t="s">
        <v>50</v>
      </c>
      <c r="F153" s="58" t="s">
        <v>51</v>
      </c>
      <c r="I153" s="76"/>
      <c r="J153" s="76"/>
    </row>
    <row r="154" spans="1:10" x14ac:dyDescent="0.2">
      <c r="A154" s="11" t="s">
        <v>12</v>
      </c>
      <c r="B154" s="12" t="s">
        <v>13</v>
      </c>
      <c r="C154" s="87">
        <v>5</v>
      </c>
      <c r="D154" s="88">
        <v>3.7440000000000002</v>
      </c>
      <c r="E154" s="13"/>
      <c r="I154" s="76"/>
      <c r="J154" s="76"/>
    </row>
    <row r="155" spans="1:10" x14ac:dyDescent="0.2">
      <c r="A155" s="14" t="s">
        <v>14</v>
      </c>
      <c r="B155" s="15" t="s">
        <v>15</v>
      </c>
      <c r="C155" s="84">
        <f>B151</f>
        <v>264</v>
      </c>
      <c r="D155" s="250">
        <f>IFERROR(+D154/C154,"-")</f>
        <v>0.74880000000000002</v>
      </c>
      <c r="E155" s="16">
        <f>IFERROR(C155*D155,"-")</f>
        <v>197.6832</v>
      </c>
      <c r="I155" s="76"/>
      <c r="J155" s="76"/>
    </row>
    <row r="156" spans="1:10" x14ac:dyDescent="0.2">
      <c r="A156" s="14" t="s">
        <v>180</v>
      </c>
      <c r="B156" s="15" t="s">
        <v>16</v>
      </c>
      <c r="C156" s="90">
        <v>1.8</v>
      </c>
      <c r="D156" s="79">
        <v>8.27</v>
      </c>
      <c r="E156" s="16"/>
      <c r="G156" s="102"/>
      <c r="H156" s="48"/>
      <c r="I156" s="76"/>
      <c r="J156" s="76"/>
    </row>
    <row r="157" spans="1:10" x14ac:dyDescent="0.2">
      <c r="A157" s="14" t="s">
        <v>17</v>
      </c>
      <c r="B157" s="15" t="s">
        <v>15</v>
      </c>
      <c r="C157" s="84">
        <f>C155</f>
        <v>264</v>
      </c>
      <c r="D157" s="247">
        <f>+C156*D156/1000</f>
        <v>1.4886E-2</v>
      </c>
      <c r="E157" s="16">
        <f>C157*D157</f>
        <v>3.9299040000000001</v>
      </c>
      <c r="G157" s="102"/>
      <c r="H157" s="48"/>
      <c r="I157" s="76"/>
      <c r="J157" s="76"/>
    </row>
    <row r="158" spans="1:10" x14ac:dyDescent="0.2">
      <c r="A158" s="14" t="s">
        <v>181</v>
      </c>
      <c r="B158" s="15" t="s">
        <v>16</v>
      </c>
      <c r="C158" s="90">
        <v>0.15</v>
      </c>
      <c r="D158" s="79">
        <v>13.78</v>
      </c>
      <c r="E158" s="16"/>
      <c r="G158" s="102"/>
      <c r="H158" s="48"/>
      <c r="I158" s="76"/>
      <c r="J158" s="76"/>
    </row>
    <row r="159" spans="1:10" x14ac:dyDescent="0.2">
      <c r="A159" s="14" t="s">
        <v>18</v>
      </c>
      <c r="B159" s="15" t="s">
        <v>15</v>
      </c>
      <c r="C159" s="84">
        <f>C155</f>
        <v>264</v>
      </c>
      <c r="D159" s="247">
        <f>+C158*D158/1000</f>
        <v>2.0669999999999998E-3</v>
      </c>
      <c r="E159" s="16">
        <f>C159*D159</f>
        <v>0.54568799999999995</v>
      </c>
      <c r="G159" s="102"/>
      <c r="H159" s="48"/>
      <c r="I159" s="76"/>
      <c r="J159" s="76"/>
    </row>
    <row r="160" spans="1:10" x14ac:dyDescent="0.2">
      <c r="A160" s="14" t="s">
        <v>182</v>
      </c>
      <c r="B160" s="15" t="s">
        <v>16</v>
      </c>
      <c r="C160" s="90">
        <v>0.5</v>
      </c>
      <c r="D160" s="79">
        <v>6.78</v>
      </c>
      <c r="E160" s="16"/>
      <c r="G160" s="102"/>
      <c r="H160" s="48"/>
      <c r="I160" s="76"/>
      <c r="J160" s="76"/>
    </row>
    <row r="161" spans="1:10" x14ac:dyDescent="0.2">
      <c r="A161" s="14" t="s">
        <v>19</v>
      </c>
      <c r="B161" s="15" t="s">
        <v>15</v>
      </c>
      <c r="C161" s="84">
        <f>C155</f>
        <v>264</v>
      </c>
      <c r="D161" s="247">
        <f>+C160*D160/1000</f>
        <v>3.3900000000000002E-3</v>
      </c>
      <c r="E161" s="16">
        <f>C161*D161</f>
        <v>0.89496000000000009</v>
      </c>
      <c r="G161" s="102"/>
      <c r="H161" s="48"/>
      <c r="I161" s="76"/>
      <c r="J161" s="76"/>
    </row>
    <row r="162" spans="1:10" x14ac:dyDescent="0.2">
      <c r="A162" s="14" t="s">
        <v>20</v>
      </c>
      <c r="B162" s="15" t="s">
        <v>21</v>
      </c>
      <c r="C162" s="90">
        <v>2.5</v>
      </c>
      <c r="D162" s="79">
        <v>20.13</v>
      </c>
      <c r="E162" s="16"/>
      <c r="G162" s="102"/>
      <c r="H162" s="48"/>
      <c r="I162" s="76"/>
      <c r="J162" s="76"/>
    </row>
    <row r="163" spans="1:10" x14ac:dyDescent="0.2">
      <c r="A163" s="14" t="s">
        <v>22</v>
      </c>
      <c r="B163" s="15" t="s">
        <v>15</v>
      </c>
      <c r="C163" s="84">
        <f>C155</f>
        <v>264</v>
      </c>
      <c r="D163" s="247">
        <f>+C162*D162/1000</f>
        <v>5.0324999999999995E-2</v>
      </c>
      <c r="E163" s="16">
        <f>C163*D163</f>
        <v>13.285799999999998</v>
      </c>
      <c r="G163" s="102"/>
      <c r="H163" s="48"/>
      <c r="I163" s="76"/>
      <c r="J163" s="76"/>
    </row>
    <row r="164" spans="1:10" ht="13.5" thickBot="1" x14ac:dyDescent="0.25">
      <c r="A164" s="93" t="s">
        <v>195</v>
      </c>
      <c r="B164" s="94" t="s">
        <v>89</v>
      </c>
      <c r="C164" s="248"/>
      <c r="D164" s="249">
        <f>IFERROR(D155+D157+D159+D161+D163,0)</f>
        <v>0.81946799999999997</v>
      </c>
      <c r="E164" s="16"/>
      <c r="G164" s="102"/>
      <c r="H164" s="48"/>
      <c r="I164" s="76"/>
      <c r="J164" s="76"/>
    </row>
    <row r="165" spans="1:10" ht="13.5" thickBot="1" x14ac:dyDescent="0.25">
      <c r="F165" s="19">
        <f>SUM(E154:E163)</f>
        <v>216.339552</v>
      </c>
      <c r="I165" s="76"/>
      <c r="J165" s="76"/>
    </row>
    <row r="166" spans="1:10" ht="11.25" customHeight="1" x14ac:dyDescent="0.2">
      <c r="I166" s="76"/>
      <c r="J166" s="76"/>
    </row>
    <row r="167" spans="1:10" ht="13.5" thickBot="1" x14ac:dyDescent="0.25">
      <c r="A167" s="7" t="s">
        <v>42</v>
      </c>
      <c r="I167" s="76"/>
      <c r="J167" s="76"/>
    </row>
    <row r="168" spans="1:10" ht="13.5" thickBot="1" x14ac:dyDescent="0.25">
      <c r="A168" s="55" t="s">
        <v>48</v>
      </c>
      <c r="B168" s="56" t="s">
        <v>49</v>
      </c>
      <c r="C168" s="56" t="s">
        <v>31</v>
      </c>
      <c r="D168" s="57" t="s">
        <v>179</v>
      </c>
      <c r="E168" s="57" t="s">
        <v>50</v>
      </c>
      <c r="F168" s="58" t="s">
        <v>51</v>
      </c>
      <c r="I168" s="76"/>
      <c r="J168" s="76"/>
    </row>
    <row r="169" spans="1:10" ht="13.5" thickBot="1" x14ac:dyDescent="0.25">
      <c r="A169" s="11" t="s">
        <v>87</v>
      </c>
      <c r="B169" s="12" t="s">
        <v>89</v>
      </c>
      <c r="C169" s="84">
        <f>C155</f>
        <v>264</v>
      </c>
      <c r="D169" s="78">
        <v>0.74</v>
      </c>
      <c r="E169" s="13">
        <f>C169*D169</f>
        <v>195.35999999999999</v>
      </c>
      <c r="I169" s="76"/>
      <c r="J169" s="76"/>
    </row>
    <row r="170" spans="1:10" ht="13.5" thickBot="1" x14ac:dyDescent="0.25">
      <c r="F170" s="19">
        <f>E169</f>
        <v>195.35999999999999</v>
      </c>
      <c r="I170" s="76"/>
      <c r="J170" s="76"/>
    </row>
    <row r="171" spans="1:10" ht="11.25" customHeight="1" x14ac:dyDescent="0.2">
      <c r="I171" s="76"/>
      <c r="J171" s="76"/>
    </row>
    <row r="172" spans="1:10" ht="13.5" thickBot="1" x14ac:dyDescent="0.25">
      <c r="A172" s="7" t="s">
        <v>47</v>
      </c>
      <c r="I172" s="76"/>
      <c r="J172" s="76"/>
    </row>
    <row r="173" spans="1:10" ht="13.5" thickBot="1" x14ac:dyDescent="0.25">
      <c r="A173" s="55" t="s">
        <v>48</v>
      </c>
      <c r="B173" s="56" t="s">
        <v>49</v>
      </c>
      <c r="C173" s="56" t="s">
        <v>31</v>
      </c>
      <c r="D173" s="57" t="s">
        <v>179</v>
      </c>
      <c r="E173" s="57" t="s">
        <v>50</v>
      </c>
      <c r="F173" s="58" t="s">
        <v>51</v>
      </c>
      <c r="I173" s="76"/>
      <c r="J173" s="76"/>
    </row>
    <row r="174" spans="1:10" x14ac:dyDescent="0.2">
      <c r="A174" s="260" t="s">
        <v>215</v>
      </c>
      <c r="B174" s="12" t="s">
        <v>8</v>
      </c>
      <c r="C174" s="86">
        <v>6</v>
      </c>
      <c r="D174" s="78">
        <v>1692</v>
      </c>
      <c r="E174" s="13">
        <f>C174*D174</f>
        <v>10152</v>
      </c>
      <c r="I174" s="76"/>
      <c r="J174" s="76"/>
    </row>
    <row r="175" spans="1:10" x14ac:dyDescent="0.2">
      <c r="A175" s="11" t="s">
        <v>90</v>
      </c>
      <c r="B175" s="12" t="s">
        <v>8</v>
      </c>
      <c r="C175" s="86">
        <v>1</v>
      </c>
      <c r="D175" s="96"/>
      <c r="E175" s="13"/>
      <c r="I175" s="76"/>
      <c r="J175" s="76"/>
    </row>
    <row r="176" spans="1:10" x14ac:dyDescent="0.2">
      <c r="A176" s="11" t="s">
        <v>53</v>
      </c>
      <c r="B176" s="12" t="s">
        <v>8</v>
      </c>
      <c r="C176" s="13">
        <f>C174*C175</f>
        <v>6</v>
      </c>
      <c r="D176" s="78">
        <v>570</v>
      </c>
      <c r="E176" s="13">
        <f>C176*D176</f>
        <v>3420</v>
      </c>
      <c r="I176" s="76"/>
      <c r="J176" s="76"/>
    </row>
    <row r="177" spans="1:10" x14ac:dyDescent="0.2">
      <c r="A177" s="264" t="s">
        <v>206</v>
      </c>
      <c r="B177" s="15" t="s">
        <v>23</v>
      </c>
      <c r="C177" s="89">
        <v>60000</v>
      </c>
      <c r="D177" s="16">
        <f>E174+E176</f>
        <v>13572</v>
      </c>
      <c r="E177" s="16">
        <f>IFERROR(D177/C177,"-")</f>
        <v>0.22620000000000001</v>
      </c>
      <c r="I177" s="76"/>
      <c r="J177" s="76"/>
    </row>
    <row r="178" spans="1:10" ht="13.5" thickBot="1" x14ac:dyDescent="0.25">
      <c r="A178" s="14" t="s">
        <v>44</v>
      </c>
      <c r="B178" s="15" t="s">
        <v>15</v>
      </c>
      <c r="C178" s="84">
        <f>B151</f>
        <v>264</v>
      </c>
      <c r="D178" s="16">
        <f>E177</f>
        <v>0.22620000000000001</v>
      </c>
      <c r="E178" s="16">
        <f>IFERROR(C178*D178,0)</f>
        <v>59.716800000000006</v>
      </c>
      <c r="I178" s="76"/>
      <c r="J178" s="76"/>
    </row>
    <row r="179" spans="1:10" ht="13.5" thickBot="1" x14ac:dyDescent="0.25">
      <c r="F179" s="19">
        <f>E178</f>
        <v>59.716800000000006</v>
      </c>
      <c r="I179" s="76"/>
      <c r="J179" s="76"/>
    </row>
    <row r="180" spans="1:10" ht="11.25" customHeight="1" x14ac:dyDescent="0.2">
      <c r="I180" s="76"/>
      <c r="J180" s="76"/>
    </row>
    <row r="181" spans="1:10" ht="11.25" customHeight="1" thickBot="1" x14ac:dyDescent="0.25">
      <c r="G181" s="7"/>
    </row>
    <row r="182" spans="1:10" ht="13.5" thickBot="1" x14ac:dyDescent="0.25">
      <c r="A182" s="22" t="s">
        <v>168</v>
      </c>
      <c r="B182" s="23"/>
      <c r="C182" s="23"/>
      <c r="D182" s="24"/>
      <c r="E182" s="25"/>
      <c r="F182" s="19">
        <f>+SUM(F111:F181)</f>
        <v>555.01363851986116</v>
      </c>
      <c r="G182" s="7"/>
    </row>
    <row r="183" spans="1:10" ht="11.25" customHeight="1" x14ac:dyDescent="0.2">
      <c r="G183" s="7"/>
    </row>
    <row r="184" spans="1:10" x14ac:dyDescent="0.2">
      <c r="A184" s="32" t="s">
        <v>227</v>
      </c>
      <c r="B184" s="32"/>
      <c r="C184" s="32"/>
      <c r="D184" s="33"/>
      <c r="E184" s="33"/>
      <c r="F184" s="31"/>
      <c r="G184" s="7"/>
    </row>
    <row r="185" spans="1:10" ht="11.25" customHeight="1" thickBot="1" x14ac:dyDescent="0.25">
      <c r="G185" s="7"/>
    </row>
    <row r="186" spans="1:10" ht="13.5" thickBot="1" x14ac:dyDescent="0.25">
      <c r="A186" s="55" t="s">
        <v>48</v>
      </c>
      <c r="B186" s="56" t="s">
        <v>49</v>
      </c>
      <c r="C186" s="56" t="s">
        <v>31</v>
      </c>
      <c r="D186" s="57" t="s">
        <v>179</v>
      </c>
      <c r="E186" s="57" t="s">
        <v>50</v>
      </c>
      <c r="F186" s="58" t="s">
        <v>51</v>
      </c>
      <c r="G186" s="7"/>
    </row>
    <row r="187" spans="1:10" x14ac:dyDescent="0.2">
      <c r="A187" s="264" t="s">
        <v>220</v>
      </c>
      <c r="B187" s="15" t="s">
        <v>8</v>
      </c>
      <c r="C187" s="91">
        <v>8.3333333333333329E-2</v>
      </c>
      <c r="D187" s="78">
        <v>137.69999999999999</v>
      </c>
      <c r="E187" s="16">
        <f t="shared" ref="E187:E194" si="3">C187*D187</f>
        <v>11.474999999999998</v>
      </c>
      <c r="F187" s="50"/>
      <c r="G187" s="7"/>
    </row>
    <row r="188" spans="1:10" x14ac:dyDescent="0.2">
      <c r="A188" s="264" t="s">
        <v>221</v>
      </c>
      <c r="B188" s="15" t="s">
        <v>8</v>
      </c>
      <c r="C188" s="91">
        <v>8.3333333333333329E-2</v>
      </c>
      <c r="D188" s="78">
        <v>34.53</v>
      </c>
      <c r="E188" s="16">
        <f t="shared" si="3"/>
        <v>2.8774999999999999</v>
      </c>
      <c r="F188" s="50"/>
      <c r="G188" s="7"/>
    </row>
    <row r="189" spans="1:10" x14ac:dyDescent="0.2">
      <c r="A189" s="264" t="s">
        <v>222</v>
      </c>
      <c r="B189" s="15" t="s">
        <v>8</v>
      </c>
      <c r="C189" s="91">
        <v>8.3333333333333329E-2</v>
      </c>
      <c r="D189" s="78">
        <v>60</v>
      </c>
      <c r="E189" s="16">
        <f t="shared" si="3"/>
        <v>5</v>
      </c>
      <c r="F189" s="50"/>
      <c r="G189" s="7"/>
    </row>
    <row r="190" spans="1:10" x14ac:dyDescent="0.2">
      <c r="A190" s="264" t="s">
        <v>223</v>
      </c>
      <c r="B190" s="15" t="s">
        <v>8</v>
      </c>
      <c r="C190" s="91">
        <v>8.3333333333333329E-2</v>
      </c>
      <c r="D190" s="78">
        <v>146.69999999999999</v>
      </c>
      <c r="E190" s="16">
        <f t="shared" si="3"/>
        <v>12.224999999999998</v>
      </c>
      <c r="F190" s="50"/>
      <c r="G190" s="7"/>
    </row>
    <row r="191" spans="1:10" x14ac:dyDescent="0.2">
      <c r="A191" s="264" t="s">
        <v>224</v>
      </c>
      <c r="B191" s="15" t="s">
        <v>8</v>
      </c>
      <c r="C191" s="91">
        <v>8.3333333333333329E-2</v>
      </c>
      <c r="D191" s="78">
        <v>28.63</v>
      </c>
      <c r="E191" s="16">
        <f t="shared" si="3"/>
        <v>2.3858333333333333</v>
      </c>
      <c r="F191" s="50"/>
      <c r="G191" s="7"/>
    </row>
    <row r="192" spans="1:10" x14ac:dyDescent="0.2">
      <c r="A192" s="264" t="s">
        <v>225</v>
      </c>
      <c r="B192" s="15" t="s">
        <v>8</v>
      </c>
      <c r="C192" s="91">
        <v>8.3333333333333329E-2</v>
      </c>
      <c r="D192" s="78">
        <v>43.73</v>
      </c>
      <c r="E192" s="16">
        <f t="shared" si="3"/>
        <v>3.6441666666666661</v>
      </c>
      <c r="F192" s="50"/>
      <c r="G192" s="7"/>
    </row>
    <row r="193" spans="1:7" x14ac:dyDescent="0.2">
      <c r="A193" s="264" t="s">
        <v>226</v>
      </c>
      <c r="B193" s="15" t="s">
        <v>8</v>
      </c>
      <c r="C193" s="91">
        <v>8.3333333333333329E-2</v>
      </c>
      <c r="D193" s="78">
        <v>22.32</v>
      </c>
      <c r="E193" s="16">
        <f t="shared" si="3"/>
        <v>1.8599999999999999</v>
      </c>
      <c r="F193" s="50"/>
      <c r="G193" s="7"/>
    </row>
    <row r="194" spans="1:7" x14ac:dyDescent="0.2">
      <c r="A194" s="264" t="s">
        <v>229</v>
      </c>
      <c r="B194" s="15" t="s">
        <v>8</v>
      </c>
      <c r="C194" s="91">
        <v>0.16666666666666666</v>
      </c>
      <c r="D194" s="78">
        <v>53</v>
      </c>
      <c r="E194" s="16">
        <f t="shared" si="3"/>
        <v>8.8333333333333321</v>
      </c>
      <c r="F194" s="50"/>
      <c r="G194" s="7"/>
    </row>
    <row r="195" spans="1:7" ht="13.5" thickBot="1" x14ac:dyDescent="0.25">
      <c r="A195" s="127"/>
      <c r="B195" s="288"/>
      <c r="C195" s="289"/>
      <c r="D195" s="290"/>
      <c r="E195" s="16">
        <f>SUM(E187:E194)</f>
        <v>48.30083333333333</v>
      </c>
      <c r="F195" s="50"/>
      <c r="G195" s="7"/>
    </row>
    <row r="196" spans="1:7" ht="13.5" thickBot="1" x14ac:dyDescent="0.25">
      <c r="A196" s="32"/>
      <c r="B196" s="32"/>
      <c r="C196" s="32"/>
      <c r="D196" s="112" t="s">
        <v>149</v>
      </c>
      <c r="E196" s="291">
        <f>$B$38</f>
        <v>0.05</v>
      </c>
      <c r="F196" s="19">
        <f>E195*E196</f>
        <v>2.4150416666666668</v>
      </c>
      <c r="G196" s="7"/>
    </row>
    <row r="197" spans="1:7" ht="11.25" customHeight="1" thickBot="1" x14ac:dyDescent="0.25">
      <c r="G197" s="7"/>
    </row>
    <row r="198" spans="1:7" ht="13.5" thickBot="1" x14ac:dyDescent="0.25">
      <c r="A198" s="22" t="s">
        <v>228</v>
      </c>
      <c r="B198" s="23"/>
      <c r="C198" s="23"/>
      <c r="D198" s="24"/>
      <c r="E198" s="25"/>
      <c r="F198" s="266">
        <f>+F196</f>
        <v>2.4150416666666668</v>
      </c>
      <c r="G198" s="7"/>
    </row>
    <row r="199" spans="1:7" ht="13.5" thickBot="1" x14ac:dyDescent="0.25">
      <c r="A199" s="22"/>
      <c r="B199" s="23"/>
      <c r="C199" s="23"/>
      <c r="D199" s="24"/>
      <c r="E199" s="24"/>
      <c r="F199" s="268"/>
    </row>
    <row r="200" spans="1:7" ht="18.75" customHeight="1" thickBot="1" x14ac:dyDescent="0.25">
      <c r="A200" s="22" t="s">
        <v>169</v>
      </c>
      <c r="B200" s="26"/>
      <c r="C200" s="26"/>
      <c r="D200" s="27"/>
      <c r="E200" s="28"/>
      <c r="F200" s="267">
        <f>+F87+F103+F182+F198</f>
        <v>1094.5968387108869</v>
      </c>
    </row>
    <row r="201" spans="1:7" ht="11.25" customHeight="1" x14ac:dyDescent="0.2"/>
    <row r="202" spans="1:7" ht="11.25" customHeight="1" x14ac:dyDescent="0.2">
      <c r="A202" s="32" t="s">
        <v>212</v>
      </c>
      <c r="B202" s="32"/>
      <c r="C202" s="32"/>
      <c r="D202" s="33"/>
      <c r="E202" s="33"/>
      <c r="F202" s="31"/>
    </row>
    <row r="203" spans="1:7" ht="11.25" customHeight="1" thickBot="1" x14ac:dyDescent="0.25"/>
    <row r="204" spans="1:7" ht="11.25" customHeight="1" thickBot="1" x14ac:dyDescent="0.25">
      <c r="A204" s="55" t="s">
        <v>48</v>
      </c>
      <c r="B204" s="56" t="s">
        <v>49</v>
      </c>
      <c r="C204" s="56" t="s">
        <v>31</v>
      </c>
      <c r="D204" s="57" t="s">
        <v>179</v>
      </c>
      <c r="E204" s="57" t="s">
        <v>50</v>
      </c>
      <c r="F204" s="58" t="s">
        <v>51</v>
      </c>
    </row>
    <row r="205" spans="1:7" ht="11.25" customHeight="1" thickBot="1" x14ac:dyDescent="0.25">
      <c r="A205" s="264" t="s">
        <v>213</v>
      </c>
      <c r="B205" s="270" t="s">
        <v>199</v>
      </c>
      <c r="C205" s="272">
        <f>D223</f>
        <v>12.5</v>
      </c>
      <c r="D205" s="271">
        <v>80</v>
      </c>
      <c r="E205" s="273">
        <f>C205*D205</f>
        <v>1000</v>
      </c>
      <c r="F205" s="50"/>
    </row>
    <row r="206" spans="1:7" ht="11.25" customHeight="1" thickBot="1" x14ac:dyDescent="0.25">
      <c r="A206" s="32"/>
      <c r="B206" s="32"/>
      <c r="C206" s="32"/>
      <c r="D206" s="32"/>
      <c r="E206" s="33"/>
      <c r="F206" s="19">
        <f>SUM(E205:E205)</f>
        <v>1000</v>
      </c>
    </row>
    <row r="207" spans="1:7" ht="11.25" customHeight="1" thickBot="1" x14ac:dyDescent="0.25"/>
    <row r="208" spans="1:7" ht="17.25" customHeight="1" thickBot="1" x14ac:dyDescent="0.25">
      <c r="A208" s="22" t="s">
        <v>214</v>
      </c>
      <c r="B208" s="23"/>
      <c r="C208" s="23"/>
      <c r="D208" s="24"/>
      <c r="E208" s="25"/>
      <c r="F208" s="266">
        <f>+F206</f>
        <v>1000</v>
      </c>
    </row>
    <row r="209" spans="1:7" ht="11.25" customHeight="1" thickBot="1" x14ac:dyDescent="0.25">
      <c r="A209" s="22"/>
      <c r="B209" s="23"/>
      <c r="C209" s="23"/>
      <c r="D209" s="24"/>
      <c r="E209" s="24"/>
      <c r="F209" s="268"/>
    </row>
    <row r="210" spans="1:7" x14ac:dyDescent="0.2">
      <c r="A210" s="9" t="s">
        <v>69</v>
      </c>
    </row>
    <row r="211" spans="1:7" ht="12" customHeight="1" thickBot="1" x14ac:dyDescent="0.25">
      <c r="G211" s="275" t="s">
        <v>156</v>
      </c>
    </row>
    <row r="212" spans="1:7" ht="12.6" customHeight="1" thickBot="1" x14ac:dyDescent="0.25">
      <c r="A212" s="55" t="s">
        <v>48</v>
      </c>
      <c r="B212" s="56" t="s">
        <v>49</v>
      </c>
      <c r="C212" s="56" t="s">
        <v>31</v>
      </c>
      <c r="D212" s="57" t="s">
        <v>179</v>
      </c>
      <c r="E212" s="57" t="s">
        <v>50</v>
      </c>
      <c r="F212" s="58" t="s">
        <v>51</v>
      </c>
    </row>
    <row r="213" spans="1:7" s="2" customFormat="1" ht="11.25" customHeight="1" thickBot="1" x14ac:dyDescent="0.25">
      <c r="A213" s="11" t="s">
        <v>28</v>
      </c>
      <c r="B213" s="12" t="s">
        <v>1</v>
      </c>
      <c r="C213" s="130">
        <f>'4.BDI'!C14*100</f>
        <v>26</v>
      </c>
      <c r="D213" s="13">
        <f>+F200</f>
        <v>1094.5968387108869</v>
      </c>
      <c r="E213" s="13">
        <f>C213*D213/100</f>
        <v>284.59517806483063</v>
      </c>
      <c r="F213" s="8"/>
      <c r="G213" s="4"/>
    </row>
    <row r="214" spans="1:7" s="2" customFormat="1" ht="11.25" customHeight="1" thickBot="1" x14ac:dyDescent="0.25">
      <c r="A214" s="7"/>
      <c r="B214" s="7"/>
      <c r="C214" s="7"/>
      <c r="D214" s="8"/>
      <c r="E214" s="8"/>
      <c r="F214" s="19">
        <f>+E213</f>
        <v>284.59517806483063</v>
      </c>
      <c r="G214" s="4"/>
    </row>
    <row r="215" spans="1:7" s="2" customFormat="1" ht="9.75" customHeight="1" thickBot="1" x14ac:dyDescent="0.25">
      <c r="A215" s="7"/>
      <c r="B215" s="7"/>
      <c r="C215" s="7"/>
      <c r="D215" s="8"/>
      <c r="E215" s="8"/>
      <c r="F215" s="8"/>
      <c r="G215" s="4"/>
    </row>
    <row r="216" spans="1:7" ht="13.5" thickBot="1" x14ac:dyDescent="0.25">
      <c r="A216" s="22" t="s">
        <v>184</v>
      </c>
      <c r="B216" s="26"/>
      <c r="C216" s="26"/>
      <c r="D216" s="27"/>
      <c r="E216" s="28"/>
      <c r="F216" s="20">
        <f>F214</f>
        <v>284.59517806483063</v>
      </c>
    </row>
    <row r="217" spans="1:7" x14ac:dyDescent="0.2">
      <c r="A217" s="32"/>
      <c r="B217" s="32"/>
      <c r="C217" s="32"/>
      <c r="D217" s="33"/>
      <c r="E217" s="33"/>
      <c r="F217" s="31"/>
    </row>
    <row r="218" spans="1:7" ht="13.5" thickBot="1" x14ac:dyDescent="0.25"/>
    <row r="219" spans="1:7" ht="21" customHeight="1" thickBot="1" x14ac:dyDescent="0.25">
      <c r="A219" s="22" t="s">
        <v>170</v>
      </c>
      <c r="B219" s="26"/>
      <c r="C219" s="26"/>
      <c r="D219" s="27"/>
      <c r="E219" s="28"/>
      <c r="F219" s="20">
        <f>F200+F208+F216</f>
        <v>2379.1920167757175</v>
      </c>
    </row>
    <row r="220" spans="1:7" ht="16.5" thickBot="1" x14ac:dyDescent="0.25">
      <c r="A220" s="51"/>
      <c r="B220" s="51"/>
      <c r="C220" s="51"/>
      <c r="D220" s="52"/>
      <c r="E220" s="52"/>
      <c r="F220" s="52"/>
    </row>
    <row r="221" spans="1:7" ht="13.5" thickBot="1" x14ac:dyDescent="0.25">
      <c r="A221" s="55" t="s">
        <v>48</v>
      </c>
      <c r="B221" s="56"/>
      <c r="C221" s="56"/>
      <c r="D221" s="56" t="s">
        <v>31</v>
      </c>
      <c r="E221" s="56" t="s">
        <v>49</v>
      </c>
    </row>
    <row r="222" spans="1:7" x14ac:dyDescent="0.2">
      <c r="A222" s="5" t="s">
        <v>218</v>
      </c>
      <c r="B222" s="5"/>
      <c r="C222" s="5"/>
      <c r="D222" s="274">
        <v>150</v>
      </c>
      <c r="E222" s="275" t="s">
        <v>199</v>
      </c>
    </row>
    <row r="223" spans="1:7" x14ac:dyDescent="0.2">
      <c r="A223" s="265" t="s">
        <v>217</v>
      </c>
      <c r="B223" s="276"/>
      <c r="C223" s="276"/>
      <c r="D223" s="277">
        <f>D222/12</f>
        <v>12.5</v>
      </c>
      <c r="E223" s="269" t="s">
        <v>199</v>
      </c>
    </row>
    <row r="224" spans="1:7" ht="13.5" thickBot="1" x14ac:dyDescent="0.25"/>
    <row r="225" spans="1:6" ht="23.25" customHeight="1" thickBot="1" x14ac:dyDescent="0.25">
      <c r="A225" s="22" t="s">
        <v>207</v>
      </c>
      <c r="B225" s="23"/>
      <c r="C225" s="23"/>
      <c r="D225" s="24"/>
      <c r="E225" s="232" t="s">
        <v>210</v>
      </c>
      <c r="F225" s="233">
        <f>IFERROR(F219/D223,"-")</f>
        <v>190.33536134205741</v>
      </c>
    </row>
    <row r="226" spans="1:6" x14ac:dyDescent="0.2">
      <c r="A226" s="32"/>
      <c r="B226" s="32"/>
      <c r="C226" s="32"/>
      <c r="D226" s="33"/>
      <c r="E226" s="33"/>
      <c r="F226" s="33"/>
    </row>
    <row r="227" spans="1:6" ht="15.75" x14ac:dyDescent="0.2">
      <c r="A227" s="36"/>
      <c r="B227" s="8"/>
      <c r="C227" s="8"/>
    </row>
    <row r="228" spans="1:6" ht="15.75" x14ac:dyDescent="0.2">
      <c r="A228" s="36"/>
      <c r="B228" s="8"/>
      <c r="C228" s="8"/>
    </row>
    <row r="229" spans="1:6" ht="15.75" x14ac:dyDescent="0.2">
      <c r="A229" s="36"/>
      <c r="B229" s="8"/>
      <c r="C229" s="8"/>
    </row>
    <row r="246" spans="7:7" ht="9" customHeight="1" x14ac:dyDescent="0.2">
      <c r="G246" s="7"/>
    </row>
    <row r="259" spans="4:6" x14ac:dyDescent="0.2">
      <c r="D259" s="7"/>
      <c r="E259" s="7"/>
      <c r="F259" s="7"/>
    </row>
  </sheetData>
  <mergeCells count="7">
    <mergeCell ref="A34:D34"/>
    <mergeCell ref="A13:C13"/>
    <mergeCell ref="A2:F2"/>
    <mergeCell ref="A3:F3"/>
    <mergeCell ref="A29:D29"/>
    <mergeCell ref="A5:F5"/>
    <mergeCell ref="A28:E28"/>
  </mergeCells>
  <phoneticPr fontId="9" type="noConversion"/>
  <hyperlinks>
    <hyperlink ref="A125" location="AbaRemun" display="3.1.2. Remuneração do Capital"/>
    <hyperlink ref="A109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5" fitToHeight="0" orientation="portrait" r:id="rId1"/>
  <headerFooter alignWithMargins="0">
    <oddFooter>&amp;R&amp;P de &amp;N</oddFooter>
  </headerFooter>
  <rowBreaks count="4" manualBreakCount="4">
    <brk id="39" max="5" man="1"/>
    <brk id="66" max="5" man="1"/>
    <brk id="104" max="5" man="1"/>
    <brk id="171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zoomScaleNormal="100" workbookViewId="0">
      <selection activeCell="F8" sqref="F8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45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9" t="s">
        <v>155</v>
      </c>
    </row>
    <row r="2" spans="1:12" x14ac:dyDescent="0.2">
      <c r="A2" s="129" t="s">
        <v>190</v>
      </c>
    </row>
    <row r="3" spans="1:12" s="2" customFormat="1" ht="15.6" customHeight="1" x14ac:dyDescent="0.2">
      <c r="B3" s="128"/>
      <c r="C3" s="128"/>
      <c r="D3" s="128"/>
      <c r="E3" s="128"/>
      <c r="F3" s="128"/>
      <c r="G3" s="4"/>
    </row>
    <row r="4" spans="1:12" ht="13.5" thickBot="1" x14ac:dyDescent="0.25"/>
    <row r="5" spans="1:12" ht="18" x14ac:dyDescent="0.2">
      <c r="A5" s="311" t="s">
        <v>173</v>
      </c>
      <c r="B5" s="312"/>
      <c r="C5" s="313"/>
      <c r="D5" s="138"/>
      <c r="E5" s="138"/>
      <c r="F5" s="138"/>
    </row>
    <row r="6" spans="1:12" ht="14.25" x14ac:dyDescent="0.2">
      <c r="A6" s="156" t="s">
        <v>108</v>
      </c>
      <c r="B6" s="157" t="s">
        <v>109</v>
      </c>
      <c r="C6" s="158" t="s">
        <v>110</v>
      </c>
      <c r="D6" s="159"/>
    </row>
    <row r="7" spans="1:12" ht="14.25" x14ac:dyDescent="0.2">
      <c r="A7" s="156" t="s">
        <v>111</v>
      </c>
      <c r="B7" s="157" t="s">
        <v>32</v>
      </c>
      <c r="C7" s="160">
        <v>0.2</v>
      </c>
      <c r="D7" s="159"/>
      <c r="F7" s="145"/>
      <c r="G7" s="145"/>
      <c r="H7" s="145"/>
      <c r="I7" s="145"/>
      <c r="J7" s="145"/>
      <c r="K7" s="145"/>
      <c r="L7" s="145"/>
    </row>
    <row r="8" spans="1:12" ht="14.25" x14ac:dyDescent="0.2">
      <c r="A8" s="156" t="s">
        <v>112</v>
      </c>
      <c r="B8" s="157" t="s">
        <v>113</v>
      </c>
      <c r="C8" s="160">
        <v>1.4999999999999999E-2</v>
      </c>
      <c r="D8" s="159"/>
      <c r="F8" s="145"/>
      <c r="G8" s="145"/>
      <c r="H8" s="145"/>
      <c r="I8" s="145"/>
      <c r="J8" s="145"/>
      <c r="K8" s="145"/>
      <c r="L8" s="145"/>
    </row>
    <row r="9" spans="1:12" ht="14.25" x14ac:dyDescent="0.2">
      <c r="A9" s="156" t="s">
        <v>114</v>
      </c>
      <c r="B9" s="157" t="s">
        <v>115</v>
      </c>
      <c r="C9" s="160">
        <v>0.01</v>
      </c>
      <c r="D9" s="159"/>
      <c r="F9" s="145"/>
      <c r="G9" s="145"/>
      <c r="H9" s="145"/>
      <c r="I9" s="145"/>
      <c r="J9" s="145"/>
      <c r="K9" s="145"/>
      <c r="L9" s="145"/>
    </row>
    <row r="10" spans="1:12" ht="14.25" x14ac:dyDescent="0.2">
      <c r="A10" s="156" t="s">
        <v>116</v>
      </c>
      <c r="B10" s="157" t="s">
        <v>117</v>
      </c>
      <c r="C10" s="160">
        <v>2E-3</v>
      </c>
      <c r="D10" s="159"/>
      <c r="F10" s="145"/>
      <c r="G10" s="145"/>
      <c r="H10" s="145"/>
      <c r="I10" s="145"/>
      <c r="J10" s="145"/>
      <c r="K10" s="145"/>
      <c r="L10" s="145"/>
    </row>
    <row r="11" spans="1:12" ht="14.25" x14ac:dyDescent="0.2">
      <c r="A11" s="156" t="s">
        <v>118</v>
      </c>
      <c r="B11" s="157" t="s">
        <v>119</v>
      </c>
      <c r="C11" s="160">
        <v>6.0000000000000001E-3</v>
      </c>
      <c r="D11" s="159"/>
      <c r="F11" s="145"/>
      <c r="G11" s="145"/>
      <c r="H11" s="145"/>
      <c r="I11" s="145"/>
      <c r="J11" s="145"/>
      <c r="K11" s="145"/>
      <c r="L11" s="145"/>
    </row>
    <row r="12" spans="1:12" ht="14.25" x14ac:dyDescent="0.2">
      <c r="A12" s="156" t="s">
        <v>120</v>
      </c>
      <c r="B12" s="157" t="s">
        <v>121</v>
      </c>
      <c r="C12" s="160">
        <v>2.5000000000000001E-2</v>
      </c>
      <c r="D12" s="159"/>
      <c r="F12" s="145"/>
      <c r="G12" s="145"/>
      <c r="H12" s="145"/>
      <c r="I12" s="145"/>
      <c r="J12" s="145"/>
      <c r="K12" s="145"/>
      <c r="L12" s="145"/>
    </row>
    <row r="13" spans="1:12" ht="14.25" x14ac:dyDescent="0.2">
      <c r="A13" s="156" t="s">
        <v>122</v>
      </c>
      <c r="B13" s="157" t="s">
        <v>123</v>
      </c>
      <c r="C13" s="160">
        <v>0.03</v>
      </c>
      <c r="D13" s="159"/>
      <c r="F13" s="145"/>
      <c r="G13" s="145"/>
      <c r="H13" s="145"/>
      <c r="I13" s="145"/>
      <c r="J13" s="145"/>
      <c r="K13" s="145"/>
      <c r="L13" s="145"/>
    </row>
    <row r="14" spans="1:12" ht="14.25" x14ac:dyDescent="0.2">
      <c r="A14" s="156" t="s">
        <v>124</v>
      </c>
      <c r="B14" s="157" t="s">
        <v>33</v>
      </c>
      <c r="C14" s="160">
        <v>0.08</v>
      </c>
      <c r="D14" s="161"/>
      <c r="F14" s="145"/>
      <c r="G14" s="145"/>
      <c r="H14" s="145"/>
      <c r="I14" s="145"/>
      <c r="J14" s="145"/>
      <c r="K14" s="145"/>
      <c r="L14" s="145"/>
    </row>
    <row r="15" spans="1:12" ht="15" x14ac:dyDescent="0.2">
      <c r="A15" s="156" t="s">
        <v>125</v>
      </c>
      <c r="B15" s="162" t="s">
        <v>126</v>
      </c>
      <c r="C15" s="163">
        <f>SUM(C7:C14)</f>
        <v>0.36800000000000005</v>
      </c>
      <c r="D15" s="161"/>
      <c r="F15" s="145"/>
      <c r="G15" s="145"/>
      <c r="H15" s="145"/>
      <c r="I15" s="145"/>
      <c r="J15" s="145"/>
      <c r="K15" s="145"/>
      <c r="L15" s="145"/>
    </row>
    <row r="16" spans="1:12" ht="15" x14ac:dyDescent="0.2">
      <c r="A16" s="164"/>
      <c r="B16" s="165"/>
      <c r="C16" s="166"/>
      <c r="D16" s="161"/>
      <c r="F16" s="145"/>
      <c r="G16" s="145"/>
      <c r="H16" s="145"/>
      <c r="I16" s="145"/>
      <c r="J16" s="145"/>
      <c r="K16" s="145"/>
      <c r="L16" s="145"/>
    </row>
    <row r="17" spans="1:12" ht="14.25" x14ac:dyDescent="0.2">
      <c r="A17" s="156" t="s">
        <v>127</v>
      </c>
      <c r="B17" s="167" t="s">
        <v>128</v>
      </c>
      <c r="C17" s="160">
        <v>8.3299999999999999E-2</v>
      </c>
      <c r="D17" s="161"/>
      <c r="F17" s="145"/>
      <c r="G17" s="145"/>
      <c r="H17" s="145"/>
      <c r="I17" s="145"/>
      <c r="J17" s="145"/>
      <c r="K17" s="145"/>
      <c r="L17" s="145"/>
    </row>
    <row r="18" spans="1:12" ht="14.25" x14ac:dyDescent="0.2">
      <c r="A18" s="156" t="s">
        <v>129</v>
      </c>
      <c r="B18" s="167" t="s">
        <v>130</v>
      </c>
      <c r="C18" s="160">
        <f>ROUND('3.CAGED'!C30/'3.CAGED'!C27,4)</f>
        <v>8.3299999999999999E-2</v>
      </c>
      <c r="D18" s="161"/>
      <c r="F18" s="145"/>
      <c r="G18" s="145"/>
      <c r="H18" s="145"/>
      <c r="I18" s="145"/>
      <c r="J18" s="145"/>
      <c r="K18" s="145"/>
      <c r="L18" s="145"/>
    </row>
    <row r="19" spans="1:12" ht="14.25" x14ac:dyDescent="0.2">
      <c r="A19" s="156" t="s">
        <v>167</v>
      </c>
      <c r="B19" s="167" t="s">
        <v>132</v>
      </c>
      <c r="C19" s="160">
        <v>5.9999999999999995E-4</v>
      </c>
      <c r="D19" s="161"/>
      <c r="F19" s="145"/>
      <c r="G19" s="145"/>
      <c r="H19" s="145"/>
      <c r="I19" s="145"/>
      <c r="J19" s="145"/>
      <c r="K19" s="145"/>
      <c r="L19" s="145"/>
    </row>
    <row r="20" spans="1:12" ht="14.25" x14ac:dyDescent="0.2">
      <c r="A20" s="156" t="s">
        <v>131</v>
      </c>
      <c r="B20" s="167" t="s">
        <v>134</v>
      </c>
      <c r="C20" s="160">
        <v>8.2000000000000007E-3</v>
      </c>
      <c r="D20" s="161"/>
      <c r="F20" s="145"/>
      <c r="G20" s="145"/>
      <c r="H20" s="145"/>
      <c r="I20" s="145"/>
      <c r="J20" s="145"/>
      <c r="K20" s="145"/>
      <c r="L20" s="145"/>
    </row>
    <row r="21" spans="1:12" ht="14.25" x14ac:dyDescent="0.2">
      <c r="A21" s="156" t="s">
        <v>133</v>
      </c>
      <c r="B21" s="167" t="s">
        <v>136</v>
      </c>
      <c r="C21" s="160">
        <v>3.0999999999999999E-3</v>
      </c>
      <c r="D21" s="161"/>
      <c r="F21" s="145"/>
      <c r="G21" s="145"/>
      <c r="H21" s="145"/>
      <c r="I21" s="145"/>
      <c r="J21" s="145"/>
      <c r="K21" s="145"/>
      <c r="L21" s="145"/>
    </row>
    <row r="22" spans="1:12" ht="14.25" x14ac:dyDescent="0.2">
      <c r="A22" s="156" t="s">
        <v>135</v>
      </c>
      <c r="B22" s="167" t="s">
        <v>137</v>
      </c>
      <c r="C22" s="160">
        <v>1.66E-2</v>
      </c>
      <c r="D22" s="161"/>
      <c r="F22" s="145"/>
      <c r="G22" s="145"/>
      <c r="H22" s="145"/>
      <c r="I22" s="145"/>
      <c r="J22" s="145"/>
      <c r="K22" s="145"/>
      <c r="L22" s="145"/>
    </row>
    <row r="23" spans="1:12" ht="15" x14ac:dyDescent="0.2">
      <c r="A23" s="156" t="s">
        <v>138</v>
      </c>
      <c r="B23" s="162" t="s">
        <v>139</v>
      </c>
      <c r="C23" s="163">
        <f>SUM(C17:C22)</f>
        <v>0.1951</v>
      </c>
      <c r="D23" s="168"/>
      <c r="F23" s="145"/>
      <c r="G23" s="145"/>
      <c r="H23" s="145"/>
      <c r="I23" s="145"/>
      <c r="J23" s="145"/>
      <c r="K23" s="145"/>
      <c r="L23" s="145"/>
    </row>
    <row r="24" spans="1:12" ht="15" x14ac:dyDescent="0.2">
      <c r="A24" s="164"/>
      <c r="B24" s="165"/>
      <c r="C24" s="166"/>
      <c r="D24" s="168"/>
      <c r="F24" s="145"/>
      <c r="G24" s="145"/>
      <c r="H24" s="145"/>
      <c r="I24" s="145"/>
      <c r="J24" s="145"/>
      <c r="K24" s="145"/>
      <c r="L24" s="145"/>
    </row>
    <row r="25" spans="1:12" ht="14.25" x14ac:dyDescent="0.2">
      <c r="A25" s="156" t="s">
        <v>141</v>
      </c>
      <c r="B25" s="157" t="s">
        <v>142</v>
      </c>
      <c r="C25" s="160">
        <f>ROUND(C15*C23,4)</f>
        <v>7.1800000000000003E-2</v>
      </c>
      <c r="D25" s="161"/>
      <c r="F25" s="145"/>
      <c r="G25" s="145"/>
      <c r="H25" s="145"/>
      <c r="I25" s="145"/>
      <c r="J25" s="145"/>
      <c r="K25" s="145"/>
      <c r="L25" s="145"/>
    </row>
    <row r="26" spans="1:12" ht="15" x14ac:dyDescent="0.2">
      <c r="A26" s="156" t="s">
        <v>143</v>
      </c>
      <c r="B26" s="162" t="s">
        <v>140</v>
      </c>
      <c r="C26" s="163">
        <f>SUM(C25:C25)</f>
        <v>7.1800000000000003E-2</v>
      </c>
      <c r="D26" s="169"/>
      <c r="F26" s="145"/>
      <c r="G26" s="145"/>
      <c r="H26" s="145"/>
      <c r="I26" s="145"/>
      <c r="J26" s="145"/>
      <c r="K26" s="145"/>
      <c r="L26" s="145"/>
    </row>
    <row r="27" spans="1:12" ht="15.75" thickBot="1" x14ac:dyDescent="0.25">
      <c r="A27" s="170"/>
      <c r="B27" s="171" t="s">
        <v>243</v>
      </c>
      <c r="C27" s="172">
        <f>C26+C23+C15</f>
        <v>0.63490000000000002</v>
      </c>
      <c r="D27" s="169"/>
      <c r="F27" s="145"/>
      <c r="G27" s="145"/>
      <c r="H27" s="145"/>
      <c r="I27" s="145"/>
      <c r="J27" s="145"/>
      <c r="K27" s="145"/>
      <c r="L27" s="145"/>
    </row>
    <row r="28" spans="1:12" ht="15" x14ac:dyDescent="0.2">
      <c r="A28" s="161"/>
      <c r="B28" s="173"/>
      <c r="C28" s="174"/>
      <c r="D28" s="175"/>
      <c r="F28" s="145"/>
      <c r="G28" s="145"/>
      <c r="H28" s="145"/>
      <c r="I28" s="145"/>
      <c r="J28" s="145"/>
      <c r="K28" s="145"/>
      <c r="L28" s="145"/>
    </row>
    <row r="29" spans="1:12" ht="14.25" x14ac:dyDescent="0.2">
      <c r="A29" s="161"/>
      <c r="B29" s="161"/>
      <c r="C29" s="176"/>
      <c r="D29" s="177"/>
      <c r="F29" s="145"/>
      <c r="G29" s="145"/>
      <c r="H29" s="145"/>
      <c r="I29" s="145"/>
      <c r="J29" s="145"/>
      <c r="K29" s="145"/>
      <c r="L29" s="145"/>
    </row>
    <row r="30" spans="1:12" ht="14.25" x14ac:dyDescent="0.2">
      <c r="A30" s="159"/>
      <c r="B30" s="159"/>
      <c r="C30" s="178"/>
      <c r="D30" s="159"/>
      <c r="F30" s="145"/>
      <c r="G30" s="145"/>
      <c r="H30" s="145"/>
      <c r="I30" s="145"/>
      <c r="J30" s="145"/>
      <c r="K30" s="145"/>
      <c r="L30" s="145"/>
    </row>
    <row r="31" spans="1:12" ht="14.25" x14ac:dyDescent="0.2">
      <c r="A31" s="159"/>
      <c r="B31" s="159"/>
      <c r="C31" s="178"/>
      <c r="D31" s="159"/>
      <c r="F31" s="145"/>
      <c r="G31" s="145"/>
      <c r="H31" s="145"/>
      <c r="I31" s="145"/>
      <c r="J31" s="145"/>
      <c r="K31" s="145"/>
      <c r="L31" s="145"/>
    </row>
    <row r="32" spans="1:12" ht="14.25" x14ac:dyDescent="0.2">
      <c r="A32" s="159"/>
      <c r="B32" s="159"/>
      <c r="C32" s="178"/>
      <c r="D32" s="159"/>
      <c r="F32" s="145"/>
      <c r="G32" s="145"/>
      <c r="H32" s="145"/>
      <c r="I32" s="145"/>
      <c r="J32" s="145"/>
      <c r="K32" s="145"/>
      <c r="L32" s="145"/>
    </row>
    <row r="33" spans="1:12" ht="15" x14ac:dyDescent="0.2">
      <c r="A33" s="159"/>
      <c r="B33" s="179"/>
      <c r="C33" s="180"/>
      <c r="D33" s="159"/>
      <c r="F33" s="145"/>
      <c r="G33" s="145"/>
      <c r="H33" s="145"/>
      <c r="I33" s="145"/>
      <c r="J33" s="145"/>
      <c r="K33" s="145"/>
      <c r="L33" s="145"/>
    </row>
    <row r="34" spans="1:12" ht="15" x14ac:dyDescent="0.2">
      <c r="A34" s="169"/>
      <c r="B34" s="179"/>
      <c r="C34" s="180"/>
      <c r="D34" s="169"/>
      <c r="E34" s="145"/>
      <c r="F34" s="145"/>
      <c r="G34" s="145"/>
      <c r="H34" s="145"/>
      <c r="I34" s="145"/>
      <c r="J34" s="145"/>
      <c r="K34" s="145"/>
      <c r="L34" s="145"/>
    </row>
    <row r="35" spans="1:12" ht="16.5" x14ac:dyDescent="0.2">
      <c r="A35" s="181"/>
      <c r="B35" s="145"/>
      <c r="C35" s="145"/>
      <c r="E35" s="145"/>
      <c r="F35" s="145"/>
      <c r="G35" s="145"/>
      <c r="H35" s="145"/>
      <c r="I35" s="145"/>
      <c r="J35" s="145"/>
      <c r="K35" s="145"/>
      <c r="L35" s="145"/>
    </row>
    <row r="36" spans="1:12" x14ac:dyDescent="0.2">
      <c r="A36" s="182"/>
      <c r="B36" s="183"/>
      <c r="C36" s="183"/>
      <c r="E36" s="145"/>
      <c r="F36" s="145"/>
      <c r="G36" s="145"/>
      <c r="H36" s="145"/>
      <c r="I36" s="145"/>
      <c r="J36" s="145"/>
      <c r="K36" s="145"/>
      <c r="L36" s="145"/>
    </row>
    <row r="37" spans="1:12" ht="14.25" x14ac:dyDescent="0.2">
      <c r="A37" s="159"/>
      <c r="B37" s="184"/>
      <c r="C37" s="183"/>
      <c r="E37" s="145"/>
      <c r="F37" s="145"/>
      <c r="G37" s="145"/>
      <c r="H37" s="145"/>
      <c r="I37" s="145"/>
      <c r="J37" s="145"/>
      <c r="K37" s="145"/>
      <c r="L37" s="145"/>
    </row>
    <row r="38" spans="1:12" ht="14.25" x14ac:dyDescent="0.2">
      <c r="A38" s="159"/>
      <c r="B38" s="184"/>
      <c r="C38" s="159"/>
      <c r="E38" s="145"/>
      <c r="F38" s="145"/>
      <c r="G38" s="145"/>
      <c r="H38" s="145"/>
      <c r="I38" s="145"/>
      <c r="J38" s="145"/>
      <c r="K38" s="145"/>
      <c r="L38" s="145"/>
    </row>
    <row r="39" spans="1:12" ht="14.25" x14ac:dyDescent="0.2">
      <c r="A39" s="159"/>
      <c r="B39" s="178"/>
      <c r="C39" s="183"/>
      <c r="E39" s="145"/>
      <c r="F39" s="145"/>
      <c r="G39" s="145"/>
      <c r="H39" s="145"/>
      <c r="I39" s="145"/>
      <c r="J39" s="145"/>
      <c r="K39" s="145"/>
      <c r="L39" s="145"/>
    </row>
    <row r="40" spans="1:12" ht="14.25" x14ac:dyDescent="0.2">
      <c r="A40" s="159"/>
      <c r="B40" s="184"/>
      <c r="C40" s="159"/>
      <c r="E40" s="145"/>
      <c r="F40" s="145"/>
      <c r="G40" s="145"/>
      <c r="H40" s="145"/>
      <c r="I40" s="145"/>
      <c r="J40" s="145"/>
      <c r="K40" s="145"/>
      <c r="L40" s="145"/>
    </row>
    <row r="41" spans="1:12" ht="14.25" x14ac:dyDescent="0.2">
      <c r="A41" s="159"/>
      <c r="B41" s="178"/>
      <c r="C41" s="183"/>
      <c r="E41" s="145"/>
      <c r="F41" s="145"/>
      <c r="G41" s="145"/>
      <c r="H41" s="145"/>
      <c r="I41" s="145"/>
      <c r="J41" s="145"/>
      <c r="K41" s="145"/>
      <c r="L41" s="145"/>
    </row>
    <row r="42" spans="1:12" ht="14.25" x14ac:dyDescent="0.2">
      <c r="A42" s="159"/>
      <c r="B42" s="184"/>
      <c r="C42" s="159"/>
      <c r="E42" s="145"/>
      <c r="F42" s="145"/>
      <c r="G42" s="145"/>
      <c r="H42" s="145"/>
      <c r="I42" s="145"/>
      <c r="J42" s="145"/>
      <c r="K42" s="145"/>
      <c r="L42" s="145"/>
    </row>
    <row r="43" spans="1:12" ht="14.25" x14ac:dyDescent="0.2">
      <c r="A43" s="159"/>
      <c r="B43" s="178"/>
      <c r="C43" s="183"/>
      <c r="E43" s="145"/>
      <c r="F43" s="145"/>
      <c r="G43" s="145"/>
      <c r="H43" s="145"/>
      <c r="I43" s="145"/>
      <c r="J43" s="145"/>
      <c r="K43" s="145"/>
      <c r="L43" s="145"/>
    </row>
    <row r="44" spans="1:12" ht="14.25" x14ac:dyDescent="0.2">
      <c r="A44" s="159"/>
      <c r="B44" s="184"/>
      <c r="C44" s="159"/>
      <c r="E44" s="145"/>
      <c r="F44" s="145"/>
      <c r="G44" s="145"/>
      <c r="H44" s="145"/>
      <c r="I44" s="145"/>
      <c r="J44" s="145"/>
      <c r="K44" s="145"/>
      <c r="L44" s="145"/>
    </row>
    <row r="45" spans="1:12" ht="14.25" x14ac:dyDescent="0.2">
      <c r="A45" s="159"/>
      <c r="B45" s="178"/>
      <c r="C45" s="183"/>
      <c r="E45" s="145"/>
      <c r="F45" s="145"/>
      <c r="G45" s="145"/>
      <c r="H45" s="145"/>
      <c r="I45" s="145"/>
      <c r="J45" s="145"/>
      <c r="K45" s="145"/>
      <c r="L45" s="145"/>
    </row>
    <row r="46" spans="1:12" ht="16.5" x14ac:dyDescent="0.2">
      <c r="A46" s="181"/>
      <c r="B46" s="145"/>
      <c r="C46" s="145"/>
      <c r="E46" s="145"/>
      <c r="F46" s="145"/>
      <c r="G46" s="145"/>
      <c r="H46" s="145"/>
      <c r="I46" s="145"/>
      <c r="J46" s="145"/>
      <c r="K46" s="145"/>
      <c r="L46" s="145"/>
    </row>
    <row r="47" spans="1:12" x14ac:dyDescent="0.2">
      <c r="A47" s="145"/>
      <c r="B47" s="145"/>
      <c r="C47" s="145"/>
      <c r="E47" s="145"/>
      <c r="F47" s="145"/>
      <c r="G47" s="145"/>
      <c r="H47" s="145"/>
      <c r="I47" s="145"/>
      <c r="J47" s="145"/>
      <c r="K47" s="145"/>
      <c r="L47" s="145"/>
    </row>
    <row r="48" spans="1:12" x14ac:dyDescent="0.2">
      <c r="A48" s="145"/>
      <c r="B48" s="145"/>
      <c r="C48" s="145"/>
      <c r="E48" s="145"/>
      <c r="F48" s="145"/>
      <c r="G48" s="145"/>
      <c r="H48" s="145"/>
      <c r="I48" s="145"/>
      <c r="J48" s="145"/>
      <c r="K48" s="145"/>
      <c r="L48" s="145"/>
    </row>
    <row r="49" spans="1:12" x14ac:dyDescent="0.2">
      <c r="A49" s="185"/>
      <c r="B49" s="145"/>
      <c r="C49" s="145"/>
      <c r="E49" s="145"/>
      <c r="F49" s="145"/>
      <c r="G49" s="145"/>
      <c r="H49" s="145"/>
      <c r="I49" s="145"/>
      <c r="J49" s="145"/>
      <c r="K49" s="145"/>
      <c r="L49" s="145"/>
    </row>
    <row r="50" spans="1:12" x14ac:dyDescent="0.2">
      <c r="A50" s="145"/>
      <c r="B50" s="145"/>
      <c r="C50" s="145"/>
      <c r="E50" s="145"/>
    </row>
    <row r="51" spans="1:12" x14ac:dyDescent="0.2">
      <c r="A51" s="145"/>
      <c r="B51" s="145"/>
      <c r="C51" s="145"/>
      <c r="E51" s="145"/>
    </row>
    <row r="52" spans="1:12" x14ac:dyDescent="0.2">
      <c r="A52" s="145"/>
      <c r="B52" s="145"/>
      <c r="C52" s="145"/>
      <c r="E52" s="145"/>
    </row>
    <row r="53" spans="1:12" x14ac:dyDescent="0.2">
      <c r="A53" s="145"/>
      <c r="B53" s="145"/>
      <c r="C53" s="145"/>
      <c r="E53" s="145"/>
    </row>
    <row r="54" spans="1:12" x14ac:dyDescent="0.2">
      <c r="A54" s="145"/>
      <c r="B54" s="145"/>
      <c r="C54" s="145"/>
      <c r="E54" s="145"/>
    </row>
    <row r="55" spans="1:12" x14ac:dyDescent="0.2">
      <c r="A55" s="145"/>
      <c r="B55" s="145"/>
      <c r="C55" s="145"/>
      <c r="E55" s="145"/>
    </row>
    <row r="56" spans="1:12" x14ac:dyDescent="0.2">
      <c r="A56" s="145"/>
      <c r="B56" s="145"/>
      <c r="C56" s="145"/>
      <c r="E56" s="145"/>
    </row>
    <row r="57" spans="1:12" x14ac:dyDescent="0.2">
      <c r="A57" s="145"/>
      <c r="B57" s="145"/>
      <c r="C57" s="145"/>
      <c r="E57" s="145"/>
    </row>
    <row r="58" spans="1:12" x14ac:dyDescent="0.2">
      <c r="A58" s="145"/>
      <c r="B58" s="145"/>
      <c r="C58" s="145"/>
      <c r="E58" s="145"/>
    </row>
  </sheetData>
  <mergeCells count="1">
    <mergeCell ref="A5:C5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19" zoomScaleNormal="100" workbookViewId="0">
      <selection activeCell="B10" sqref="B10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4" ht="24.75" customHeight="1" x14ac:dyDescent="0.2">
      <c r="A1" s="318" t="s">
        <v>244</v>
      </c>
      <c r="B1" s="318"/>
      <c r="C1" s="318"/>
      <c r="D1" s="294"/>
    </row>
    <row r="3" spans="1:4" x14ac:dyDescent="0.2">
      <c r="A3" s="1" t="s">
        <v>161</v>
      </c>
    </row>
    <row r="4" spans="1:4" x14ac:dyDescent="0.2">
      <c r="A4" s="252" t="s">
        <v>158</v>
      </c>
    </row>
    <row r="5" spans="1:4" ht="25.5" customHeight="1" x14ac:dyDescent="0.2">
      <c r="A5" s="316" t="s">
        <v>193</v>
      </c>
      <c r="B5" s="317"/>
      <c r="C5" s="317"/>
    </row>
    <row r="6" spans="1:4" x14ac:dyDescent="0.2">
      <c r="A6" s="1" t="s">
        <v>159</v>
      </c>
    </row>
    <row r="7" spans="1:4" ht="26.25" customHeight="1" x14ac:dyDescent="0.2">
      <c r="A7" s="316" t="s">
        <v>245</v>
      </c>
      <c r="B7" s="317"/>
      <c r="C7" s="317"/>
    </row>
    <row r="8" spans="1:4" x14ac:dyDescent="0.2">
      <c r="A8" s="1" t="s">
        <v>160</v>
      </c>
    </row>
    <row r="9" spans="1:4" x14ac:dyDescent="0.2">
      <c r="A9" s="259" t="s">
        <v>185</v>
      </c>
    </row>
    <row r="10" spans="1:4" ht="13.5" thickBot="1" x14ac:dyDescent="0.25"/>
    <row r="11" spans="1:4" ht="18" x14ac:dyDescent="0.25">
      <c r="B11" s="314" t="s">
        <v>171</v>
      </c>
      <c r="C11" s="315"/>
    </row>
    <row r="12" spans="1:4" ht="15" x14ac:dyDescent="0.25">
      <c r="A12" s="145"/>
      <c r="B12" s="144" t="s">
        <v>157</v>
      </c>
      <c r="C12" s="186"/>
    </row>
    <row r="13" spans="1:4" ht="15" x14ac:dyDescent="0.25">
      <c r="A13" s="145"/>
      <c r="B13" s="146" t="s">
        <v>94</v>
      </c>
      <c r="C13" s="147">
        <v>190</v>
      </c>
    </row>
    <row r="14" spans="1:4" ht="15" x14ac:dyDescent="0.25">
      <c r="A14" s="145"/>
      <c r="B14" s="148" t="s">
        <v>95</v>
      </c>
      <c r="C14" s="147">
        <v>207</v>
      </c>
    </row>
    <row r="15" spans="1:4" ht="14.25" x14ac:dyDescent="0.2">
      <c r="A15" s="145"/>
      <c r="B15" s="187" t="s">
        <v>96</v>
      </c>
      <c r="C15" s="188">
        <v>39</v>
      </c>
    </row>
    <row r="16" spans="1:4" ht="14.25" x14ac:dyDescent="0.2">
      <c r="A16" s="145"/>
      <c r="B16" s="187" t="s">
        <v>97</v>
      </c>
      <c r="C16" s="188">
        <v>106</v>
      </c>
    </row>
    <row r="17" spans="1:3" ht="14.25" x14ac:dyDescent="0.2">
      <c r="A17" s="145"/>
      <c r="B17" s="187" t="s">
        <v>98</v>
      </c>
      <c r="C17" s="188">
        <v>32</v>
      </c>
    </row>
    <row r="18" spans="1:3" ht="14.25" x14ac:dyDescent="0.2">
      <c r="A18" s="145"/>
      <c r="B18" s="187" t="s">
        <v>99</v>
      </c>
      <c r="C18" s="188">
        <v>2</v>
      </c>
    </row>
    <row r="19" spans="1:3" ht="14.25" x14ac:dyDescent="0.2">
      <c r="A19" s="145"/>
      <c r="B19" s="187" t="s">
        <v>100</v>
      </c>
      <c r="C19" s="188">
        <v>27</v>
      </c>
    </row>
    <row r="20" spans="1:3" ht="14.25" x14ac:dyDescent="0.2">
      <c r="A20" s="145"/>
      <c r="B20" s="187" t="s">
        <v>101</v>
      </c>
      <c r="C20" s="188">
        <v>0</v>
      </c>
    </row>
    <row r="21" spans="1:3" ht="14.25" x14ac:dyDescent="0.2">
      <c r="A21" s="145"/>
      <c r="B21" s="187" t="s">
        <v>102</v>
      </c>
      <c r="C21" s="188">
        <v>1</v>
      </c>
    </row>
    <row r="22" spans="1:3" ht="14.25" x14ac:dyDescent="0.2">
      <c r="A22" s="145"/>
      <c r="B22" s="189" t="s">
        <v>103</v>
      </c>
      <c r="C22" s="190">
        <v>0</v>
      </c>
    </row>
    <row r="23" spans="1:3" ht="14.25" x14ac:dyDescent="0.2">
      <c r="A23" s="145"/>
      <c r="B23" s="263" t="s">
        <v>204</v>
      </c>
      <c r="C23" s="190">
        <v>0</v>
      </c>
    </row>
    <row r="24" spans="1:3" ht="15" x14ac:dyDescent="0.25">
      <c r="A24" s="145" t="s">
        <v>104</v>
      </c>
      <c r="B24" s="144" t="s">
        <v>105</v>
      </c>
      <c r="C24" s="186"/>
    </row>
    <row r="25" spans="1:3" ht="14.25" x14ac:dyDescent="0.2">
      <c r="B25" s="187" t="s">
        <v>205</v>
      </c>
      <c r="C25" s="258">
        <f>C13-C14</f>
        <v>-17</v>
      </c>
    </row>
    <row r="26" spans="1:3" ht="14.25" x14ac:dyDescent="0.2">
      <c r="B26" s="191"/>
      <c r="C26" s="192"/>
    </row>
    <row r="27" spans="1:3" ht="15" x14ac:dyDescent="0.25">
      <c r="B27" s="148" t="s">
        <v>106</v>
      </c>
      <c r="C27" s="150">
        <v>360</v>
      </c>
    </row>
    <row r="28" spans="1:3" ht="15" x14ac:dyDescent="0.25">
      <c r="B28" s="148" t="s">
        <v>186</v>
      </c>
      <c r="C28" s="150">
        <v>10</v>
      </c>
    </row>
    <row r="29" spans="1:3" ht="15" x14ac:dyDescent="0.25">
      <c r="B29" s="146" t="s">
        <v>187</v>
      </c>
      <c r="C29" s="149">
        <v>30</v>
      </c>
    </row>
    <row r="30" spans="1:3" ht="15" x14ac:dyDescent="0.25">
      <c r="B30" s="146" t="s">
        <v>188</v>
      </c>
      <c r="C30" s="149">
        <v>30</v>
      </c>
    </row>
    <row r="31" spans="1:3" s="98" customFormat="1" ht="15" x14ac:dyDescent="0.25">
      <c r="B31" s="148" t="s">
        <v>33</v>
      </c>
      <c r="C31" s="261">
        <v>0.08</v>
      </c>
    </row>
    <row r="32" spans="1:3" s="98" customFormat="1" ht="15.75" thickBot="1" x14ac:dyDescent="0.3">
      <c r="B32" s="151" t="s">
        <v>107</v>
      </c>
      <c r="C32" s="262">
        <v>0.5</v>
      </c>
    </row>
  </sheetData>
  <mergeCells count="4">
    <mergeCell ref="B11:C11"/>
    <mergeCell ref="A7:C7"/>
    <mergeCell ref="A5:C5"/>
    <mergeCell ref="A1:C1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activeCell="A22" sqref="A22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11" bestFit="1" customWidth="1"/>
    <col min="6" max="6" width="9.7109375" bestFit="1" customWidth="1"/>
  </cols>
  <sheetData>
    <row r="1" spans="1:8" s="135" customFormat="1" ht="15" thickBot="1" x14ac:dyDescent="0.25">
      <c r="B1" s="133"/>
      <c r="C1" s="133"/>
      <c r="E1" s="136"/>
    </row>
    <row r="2" spans="1:8" ht="15.75" x14ac:dyDescent="0.2">
      <c r="A2" s="324" t="s">
        <v>172</v>
      </c>
      <c r="B2" s="325"/>
      <c r="C2" s="325"/>
      <c r="D2" s="325"/>
      <c r="E2" s="325"/>
      <c r="F2" s="326"/>
    </row>
    <row r="3" spans="1:8" ht="16.5" thickBot="1" x14ac:dyDescent="0.25">
      <c r="A3" s="239"/>
      <c r="B3" s="240"/>
      <c r="C3" s="240"/>
      <c r="D3" s="240"/>
      <c r="E3" s="240"/>
      <c r="F3" s="241"/>
    </row>
    <row r="4" spans="1:8" ht="15" x14ac:dyDescent="0.25">
      <c r="A4" s="193"/>
      <c r="B4" s="134"/>
      <c r="C4" s="134"/>
      <c r="D4" s="321" t="s">
        <v>189</v>
      </c>
      <c r="E4" s="322"/>
      <c r="F4" s="323"/>
      <c r="G4" s="135"/>
      <c r="H4" s="135"/>
    </row>
    <row r="5" spans="1:8" ht="15" thickBot="1" x14ac:dyDescent="0.25">
      <c r="A5" s="191"/>
      <c r="B5" s="194"/>
      <c r="C5" s="194"/>
      <c r="D5" s="195" t="s">
        <v>144</v>
      </c>
      <c r="E5" s="196" t="s">
        <v>145</v>
      </c>
      <c r="F5" s="197" t="s">
        <v>146</v>
      </c>
      <c r="G5" s="135"/>
      <c r="H5" s="135"/>
    </row>
    <row r="6" spans="1:8" ht="14.25" x14ac:dyDescent="0.2">
      <c r="A6" s="198" t="s">
        <v>55</v>
      </c>
      <c r="B6" s="199" t="s">
        <v>56</v>
      </c>
      <c r="C6" s="200">
        <v>5.0799999999999998E-2</v>
      </c>
      <c r="D6" s="221">
        <v>2.9700000000000001E-2</v>
      </c>
      <c r="E6" s="222">
        <v>5.0799999999999998E-2</v>
      </c>
      <c r="F6" s="223">
        <v>6.2700000000000006E-2</v>
      </c>
      <c r="G6" s="135"/>
      <c r="H6" s="135"/>
    </row>
    <row r="7" spans="1:8" ht="14.25" x14ac:dyDescent="0.2">
      <c r="A7" s="202" t="s">
        <v>57</v>
      </c>
      <c r="B7" s="203" t="s">
        <v>58</v>
      </c>
      <c r="C7" s="204">
        <v>1.3299999999999999E-2</v>
      </c>
      <c r="D7" s="221">
        <f>0.3%+0.56%</f>
        <v>8.6E-3</v>
      </c>
      <c r="E7" s="222">
        <f>0.48%+0.85%</f>
        <v>1.3299999999999999E-2</v>
      </c>
      <c r="F7" s="223">
        <f>0.82%+0.89%</f>
        <v>1.7099999999999997E-2</v>
      </c>
      <c r="G7" s="135"/>
      <c r="H7" s="135"/>
    </row>
    <row r="8" spans="1:8" ht="14.25" x14ac:dyDescent="0.2">
      <c r="A8" s="202" t="s">
        <v>59</v>
      </c>
      <c r="B8" s="203" t="s">
        <v>60</v>
      </c>
      <c r="C8" s="204">
        <v>0.1085</v>
      </c>
      <c r="D8" s="221">
        <v>7.7799999999999994E-2</v>
      </c>
      <c r="E8" s="222">
        <v>0.1085</v>
      </c>
      <c r="F8" s="223">
        <v>0.13550000000000001</v>
      </c>
      <c r="G8" s="135"/>
      <c r="H8" s="135"/>
    </row>
    <row r="9" spans="1:8" ht="14.25" x14ac:dyDescent="0.2">
      <c r="A9" s="202" t="s">
        <v>61</v>
      </c>
      <c r="B9" s="203" t="s">
        <v>62</v>
      </c>
      <c r="C9" s="205">
        <f>(1+E9)^(E10/252)-1</f>
        <v>2.5021250698071817E-3</v>
      </c>
      <c r="D9" s="221" t="s">
        <v>200</v>
      </c>
      <c r="E9" s="206">
        <v>6.5000000000000002E-2</v>
      </c>
      <c r="F9" s="201"/>
      <c r="G9" s="135"/>
      <c r="H9" s="135"/>
    </row>
    <row r="10" spans="1:8" ht="14.25" x14ac:dyDescent="0.2">
      <c r="A10" s="202" t="s">
        <v>63</v>
      </c>
      <c r="B10" s="319" t="s">
        <v>64</v>
      </c>
      <c r="C10" s="204">
        <v>2.5000000000000001E-2</v>
      </c>
      <c r="D10" s="257" t="s">
        <v>147</v>
      </c>
      <c r="E10" s="207">
        <v>10</v>
      </c>
      <c r="F10" s="208"/>
      <c r="G10" s="135"/>
      <c r="H10" s="135"/>
    </row>
    <row r="11" spans="1:8" ht="15" thickBot="1" x14ac:dyDescent="0.25">
      <c r="A11" s="209" t="s">
        <v>65</v>
      </c>
      <c r="B11" s="320"/>
      <c r="C11" s="210">
        <v>3.6499999999999998E-2</v>
      </c>
      <c r="D11" s="187"/>
      <c r="E11" s="211"/>
      <c r="F11" s="208"/>
      <c r="G11" s="135"/>
      <c r="H11" s="135"/>
    </row>
    <row r="12" spans="1:8" ht="14.25" x14ac:dyDescent="0.2">
      <c r="A12" s="212" t="s">
        <v>66</v>
      </c>
      <c r="B12" s="213"/>
      <c r="C12" s="214"/>
      <c r="D12" s="187"/>
      <c r="E12" s="211"/>
      <c r="F12" s="208"/>
      <c r="G12" s="135"/>
      <c r="H12" s="135"/>
    </row>
    <row r="13" spans="1:8" ht="15" thickBot="1" x14ac:dyDescent="0.25">
      <c r="A13" s="215" t="s">
        <v>67</v>
      </c>
      <c r="B13" s="216"/>
      <c r="C13" s="217"/>
      <c r="D13" s="187"/>
      <c r="E13" s="211"/>
      <c r="F13" s="208"/>
      <c r="G13" s="135"/>
      <c r="H13" s="135"/>
    </row>
    <row r="14" spans="1:8" ht="15.75" thickBot="1" x14ac:dyDescent="0.25">
      <c r="A14" s="218" t="s">
        <v>68</v>
      </c>
      <c r="B14" s="219"/>
      <c r="C14" s="220">
        <f>ROUND((((1+C6+C7)*(1+C8)*(1+C9))/(1-(C10+C11))-1),4)</f>
        <v>0.26</v>
      </c>
      <c r="D14" s="224">
        <v>0.21429999999999999</v>
      </c>
      <c r="E14" s="225">
        <v>0.2717</v>
      </c>
      <c r="F14" s="226">
        <v>0.3362</v>
      </c>
      <c r="G14" s="135"/>
      <c r="H14" s="135"/>
    </row>
    <row r="15" spans="1:8" ht="14.25" x14ac:dyDescent="0.2">
      <c r="A15" s="135"/>
      <c r="B15" s="135"/>
      <c r="C15" s="135"/>
      <c r="D15" s="135"/>
      <c r="E15" s="136"/>
      <c r="F15" s="135"/>
      <c r="G15" s="135"/>
      <c r="H15" s="135"/>
    </row>
    <row r="16" spans="1:8" ht="14.25" x14ac:dyDescent="0.2">
      <c r="A16" s="135"/>
      <c r="B16" s="135"/>
      <c r="C16" s="135"/>
      <c r="D16" s="135"/>
      <c r="E16" s="136"/>
      <c r="F16" s="135"/>
      <c r="G16" s="135"/>
      <c r="H16" s="135"/>
    </row>
    <row r="17" spans="1:8" ht="14.25" x14ac:dyDescent="0.2">
      <c r="A17" s="135"/>
      <c r="B17" s="135"/>
      <c r="C17" s="135"/>
      <c r="D17" s="135"/>
      <c r="E17" s="136"/>
      <c r="F17" s="135"/>
      <c r="G17" s="135"/>
      <c r="H17" s="135"/>
    </row>
    <row r="18" spans="1:8" ht="14.25" x14ac:dyDescent="0.2">
      <c r="A18" s="135"/>
      <c r="B18" s="135"/>
      <c r="C18" s="135"/>
      <c r="D18" s="135"/>
      <c r="E18" s="136"/>
      <c r="F18" s="135"/>
      <c r="G18" s="135"/>
      <c r="H18" s="135"/>
    </row>
  </sheetData>
  <mergeCells count="3">
    <mergeCell ref="B10:B11"/>
    <mergeCell ref="D4:F4"/>
    <mergeCell ref="A2:F2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27" t="s">
        <v>174</v>
      </c>
      <c r="B1" s="328"/>
    </row>
    <row r="2" spans="1:2" s="98" customFormat="1" ht="19.5" customHeight="1" x14ac:dyDescent="0.2">
      <c r="A2" s="242" t="s">
        <v>162</v>
      </c>
      <c r="B2" s="243" t="s">
        <v>201</v>
      </c>
    </row>
    <row r="3" spans="1:2" ht="19.5" customHeight="1" x14ac:dyDescent="0.2">
      <c r="A3" s="153">
        <v>1</v>
      </c>
      <c r="B3" s="152">
        <v>33.629999999999995</v>
      </c>
    </row>
    <row r="4" spans="1:2" ht="19.5" customHeight="1" x14ac:dyDescent="0.2">
      <c r="A4" s="153">
        <v>2</v>
      </c>
      <c r="B4" s="152">
        <v>43.13</v>
      </c>
    </row>
    <row r="5" spans="1:2" ht="19.5" customHeight="1" x14ac:dyDescent="0.2">
      <c r="A5" s="153">
        <v>3</v>
      </c>
      <c r="B5" s="152">
        <v>48.68</v>
      </c>
    </row>
    <row r="6" spans="1:2" ht="19.5" customHeight="1" x14ac:dyDescent="0.2">
      <c r="A6" s="153">
        <v>4</v>
      </c>
      <c r="B6" s="152">
        <v>52.62</v>
      </c>
    </row>
    <row r="7" spans="1:2" ht="19.5" customHeight="1" x14ac:dyDescent="0.2">
      <c r="A7" s="153">
        <v>5</v>
      </c>
      <c r="B7" s="152">
        <v>55.679999999999993</v>
      </c>
    </row>
    <row r="8" spans="1:2" ht="19.5" customHeight="1" x14ac:dyDescent="0.2">
      <c r="A8" s="153">
        <v>6</v>
      </c>
      <c r="B8" s="152">
        <v>58.18</v>
      </c>
    </row>
    <row r="9" spans="1:2" ht="19.5" customHeight="1" x14ac:dyDescent="0.2">
      <c r="A9" s="153">
        <v>7</v>
      </c>
      <c r="B9" s="152">
        <v>60.29</v>
      </c>
    </row>
    <row r="10" spans="1:2" ht="19.5" customHeight="1" x14ac:dyDescent="0.2">
      <c r="A10" s="153">
        <v>8</v>
      </c>
      <c r="B10" s="152">
        <v>62.12</v>
      </c>
    </row>
    <row r="11" spans="1:2" ht="19.5" customHeight="1" x14ac:dyDescent="0.2">
      <c r="A11" s="153">
        <v>9</v>
      </c>
      <c r="B11" s="152">
        <v>63.73</v>
      </c>
    </row>
    <row r="12" spans="1:2" ht="19.5" customHeight="1" x14ac:dyDescent="0.2">
      <c r="A12" s="153">
        <v>10</v>
      </c>
      <c r="B12" s="152">
        <v>65.180000000000007</v>
      </c>
    </row>
    <row r="13" spans="1:2" ht="19.5" customHeight="1" x14ac:dyDescent="0.2">
      <c r="A13" s="153">
        <v>11</v>
      </c>
      <c r="B13" s="152">
        <v>66.47999999999999</v>
      </c>
    </row>
    <row r="14" spans="1:2" ht="19.5" customHeight="1" x14ac:dyDescent="0.2">
      <c r="A14" s="153">
        <v>12</v>
      </c>
      <c r="B14" s="152">
        <v>67.67</v>
      </c>
    </row>
    <row r="15" spans="1:2" ht="19.5" customHeight="1" x14ac:dyDescent="0.2">
      <c r="A15" s="153">
        <v>13</v>
      </c>
      <c r="B15" s="152">
        <v>68.77</v>
      </c>
    </row>
    <row r="16" spans="1:2" ht="19.5" customHeight="1" x14ac:dyDescent="0.2">
      <c r="A16" s="153">
        <v>14</v>
      </c>
      <c r="B16" s="152">
        <v>69.789999999999992</v>
      </c>
    </row>
    <row r="17" spans="1:2" ht="19.5" customHeight="1" thickBot="1" x14ac:dyDescent="0.25">
      <c r="A17" s="154">
        <v>15</v>
      </c>
      <c r="B17" s="155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30" t="s">
        <v>178</v>
      </c>
    </row>
    <row r="2" spans="1:1" x14ac:dyDescent="0.2">
      <c r="A2" s="227"/>
    </row>
    <row r="3" spans="1:1" x14ac:dyDescent="0.2">
      <c r="A3" s="227" t="s">
        <v>191</v>
      </c>
    </row>
    <row r="4" spans="1:1" x14ac:dyDescent="0.2">
      <c r="A4" s="227"/>
    </row>
    <row r="5" spans="1:1" x14ac:dyDescent="0.2">
      <c r="A5" s="227"/>
    </row>
    <row r="6" spans="1:1" x14ac:dyDescent="0.2">
      <c r="A6" s="227"/>
    </row>
    <row r="7" spans="1:1" x14ac:dyDescent="0.2">
      <c r="A7" s="227"/>
    </row>
    <row r="8" spans="1:1" x14ac:dyDescent="0.2">
      <c r="A8" s="227"/>
    </row>
    <row r="9" spans="1:1" x14ac:dyDescent="0.2">
      <c r="A9" s="227"/>
    </row>
    <row r="10" spans="1:1" x14ac:dyDescent="0.2">
      <c r="A10" s="227"/>
    </row>
    <row r="11" spans="1:1" x14ac:dyDescent="0.2">
      <c r="A11" s="227"/>
    </row>
    <row r="12" spans="1:1" ht="19.5" x14ac:dyDescent="0.35">
      <c r="A12" s="228" t="s">
        <v>175</v>
      </c>
    </row>
    <row r="13" spans="1:1" ht="15" x14ac:dyDescent="0.2">
      <c r="A13" s="228" t="s">
        <v>80</v>
      </c>
    </row>
    <row r="14" spans="1:1" ht="15" x14ac:dyDescent="0.2">
      <c r="A14" s="228" t="s">
        <v>84</v>
      </c>
    </row>
    <row r="15" spans="1:1" ht="19.5" x14ac:dyDescent="0.35">
      <c r="A15" s="228" t="s">
        <v>176</v>
      </c>
    </row>
    <row r="16" spans="1:1" ht="19.5" x14ac:dyDescent="0.35">
      <c r="A16" s="228" t="s">
        <v>177</v>
      </c>
    </row>
    <row r="17" spans="1:1" ht="15.75" thickBot="1" x14ac:dyDescent="0.25">
      <c r="A17" s="229" t="s">
        <v>81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4</vt:i4>
      </vt:variant>
    </vt:vector>
  </HeadingPairs>
  <TitlesOfParts>
    <vt:vector size="10" baseType="lpstr">
      <vt:lpstr>1.Coleta de Dejetos</vt:lpstr>
      <vt:lpstr>2.Encargos Sociais</vt:lpstr>
      <vt:lpstr>3.CAGED</vt:lpstr>
      <vt:lpstr>4.BDI</vt:lpstr>
      <vt:lpstr>5. Depreciação</vt:lpstr>
      <vt:lpstr>6.Remuneração de capital</vt:lpstr>
      <vt:lpstr>AbaDeprec</vt:lpstr>
      <vt:lpstr>AbaRemun</vt:lpstr>
      <vt:lpstr>'1.Coleta de Dejetos'!Area_de_impressao</vt:lpstr>
      <vt:lpstr>'2.Encargos Sociais'!Area_de_impressao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Licitação1</cp:lastModifiedBy>
  <cp:lastPrinted>2020-01-31T17:39:21Z</cp:lastPrinted>
  <dcterms:created xsi:type="dcterms:W3CDTF">2000-12-13T10:02:50Z</dcterms:created>
  <dcterms:modified xsi:type="dcterms:W3CDTF">2020-02-06T16:52:37Z</dcterms:modified>
</cp:coreProperties>
</file>